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725" windowHeight="12585" tabRatio="942"/>
  </bookViews>
  <sheets>
    <sheet name="Input" sheetId="5" r:id="rId1"/>
    <sheet name="bid_factors" sheetId="6" r:id="rId2"/>
    <sheet name="auction_results_and_rates" sheetId="7" r:id="rId3"/>
  </sheets>
  <definedNames>
    <definedName name="\a">#REF!</definedName>
    <definedName name="Co_letter">#REF!</definedName>
    <definedName name="Co_List">#REF!</definedName>
    <definedName name="Co_Name">#REF!</definedName>
    <definedName name="Co_Picked">#REF!</definedName>
    <definedName name="Get_Co">#REF!</definedName>
    <definedName name="Get_Mo">#REF!</definedName>
    <definedName name="Mo_List">#REF!</definedName>
    <definedName name="Mo_Picked">#REF!</definedName>
    <definedName name="_xlnm.Print_Area" localSheetId="2">auction_results_and_rates!$A$1:$L$212</definedName>
    <definedName name="_xlnm.Print_Area" localSheetId="1">bid_factors!$A$1:$L$354</definedName>
    <definedName name="_xlnm.Print_Area" localSheetId="0">Input!$A$1:$L$148</definedName>
    <definedName name="_xlnm.Print_Area">#REF!</definedName>
    <definedName name="Print_Area_MI">#REF!</definedName>
    <definedName name="_xlnm.Print_Titles" localSheetId="2">auction_results_and_rates!$1:$4</definedName>
    <definedName name="Rpt_Mo">#REF!</definedName>
    <definedName name="SUM">#REF!</definedName>
    <definedName name="Year1">#REF!</definedName>
    <definedName name="Z_782F5CFE_DE26_4D5A_B82E_30A424B0A39B_.wvu.PrintArea" localSheetId="2" hidden="1">auction_results_and_rates!$A$1:$L$212</definedName>
    <definedName name="Z_782F5CFE_DE26_4D5A_B82E_30A424B0A39B_.wvu.PrintArea" localSheetId="1" hidden="1">bid_factors!$A$1:$L$354</definedName>
    <definedName name="Z_782F5CFE_DE26_4D5A_B82E_30A424B0A39B_.wvu.PrintTitles" localSheetId="2" hidden="1">auction_results_and_rates!$1:$4</definedName>
    <definedName name="Z_782F5CFE_DE26_4D5A_B82E_30A424B0A39B_.wvu.Rows" localSheetId="2" hidden="1">auction_results_and_rates!$213:$274</definedName>
    <definedName name="Z_782F5CFE_DE26_4D5A_B82E_30A424B0A39B_.wvu.Rows" localSheetId="0" hidden="1">Input!$309:$385</definedName>
    <definedName name="Z_88B031DE_0423_45A5_B384_E560A52FDD07_.wvu.PrintArea" localSheetId="2" hidden="1">auction_results_and_rates!$A$1:$L$212</definedName>
    <definedName name="Z_88B031DE_0423_45A5_B384_E560A52FDD07_.wvu.PrintArea" localSheetId="1" hidden="1">bid_factors!$A$1:$L$354</definedName>
    <definedName name="Z_88B031DE_0423_45A5_B384_E560A52FDD07_.wvu.PrintTitles" localSheetId="2" hidden="1">auction_results_and_rates!$1:$4</definedName>
    <definedName name="Z_88B031DE_0423_45A5_B384_E560A52FDD07_.wvu.Rows" localSheetId="2" hidden="1">auction_results_and_rates!$213:$274</definedName>
    <definedName name="Z_88B031DE_0423_45A5_B384_E560A52FDD07_.wvu.Rows" localSheetId="0" hidden="1">Input!$309:$385</definedName>
    <definedName name="Z_9BF7FAF1_D686_4A6B_A2BE_0DAD43841920_.wvu.PrintArea" localSheetId="2" hidden="1">auction_results_and_rates!$A$1:$L$212</definedName>
    <definedName name="Z_9BF7FAF1_D686_4A6B_A2BE_0DAD43841920_.wvu.PrintArea" localSheetId="1" hidden="1">bid_factors!$A$1:$L$354</definedName>
    <definedName name="Z_9BF7FAF1_D686_4A6B_A2BE_0DAD43841920_.wvu.PrintTitles" localSheetId="2" hidden="1">auction_results_and_rates!$1:$4</definedName>
    <definedName name="Z_9BF7FAF1_D686_4A6B_A2BE_0DAD43841920_.wvu.Rows" localSheetId="2" hidden="1">auction_results_and_rates!$213:$274</definedName>
    <definedName name="Z_9BF7FAF1_D686_4A6B_A2BE_0DAD43841920_.wvu.Rows" localSheetId="0" hidden="1">Input!$309:$385</definedName>
    <definedName name="Z_D5524E47_947F_4D9F_AE8B_3F0380261994_.wvu.PrintArea" localSheetId="2" hidden="1">auction_results_and_rates!$A$1:$L$212</definedName>
    <definedName name="Z_D5524E47_947F_4D9F_AE8B_3F0380261994_.wvu.PrintArea" localSheetId="1" hidden="1">bid_factors!$A$1:$L$354</definedName>
    <definedName name="Z_D5524E47_947F_4D9F_AE8B_3F0380261994_.wvu.PrintTitles" localSheetId="2" hidden="1">auction_results_and_rates!$1:$4</definedName>
    <definedName name="Z_D5524E47_947F_4D9F_AE8B_3F0380261994_.wvu.Rows" localSheetId="2" hidden="1">auction_results_and_rates!$213:$274</definedName>
    <definedName name="Z_D5524E47_947F_4D9F_AE8B_3F0380261994_.wvu.Rows" localSheetId="0" hidden="1">Input!$309:$385</definedName>
  </definedNames>
  <calcPr calcId="145621"/>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workbook>
</file>

<file path=xl/calcChain.xml><?xml version="1.0" encoding="utf-8"?>
<calcChain xmlns="http://schemas.openxmlformats.org/spreadsheetml/2006/main">
  <c r="C8" i="7" l="1"/>
  <c r="B42" i="6" l="1"/>
  <c r="E27" i="5" l="1"/>
  <c r="B143" i="6" l="1"/>
  <c r="E22" i="6" l="1"/>
  <c r="E4" i="6"/>
  <c r="D170" i="6" l="1"/>
  <c r="D169" i="6"/>
  <c r="D171" i="6" l="1"/>
  <c r="Q80" i="6" l="1"/>
  <c r="C9" i="6" l="1"/>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C13" i="6"/>
  <c r="D13" i="6"/>
  <c r="E13" i="6"/>
  <c r="F13" i="6"/>
  <c r="G13" i="6"/>
  <c r="H13" i="6"/>
  <c r="I13" i="6"/>
  <c r="J13" i="6"/>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C17" i="6"/>
  <c r="D17" i="6"/>
  <c r="E17" i="6"/>
  <c r="F17" i="6"/>
  <c r="G17" i="6"/>
  <c r="H17" i="6"/>
  <c r="I17" i="6"/>
  <c r="J17" i="6"/>
  <c r="K17" i="6"/>
  <c r="L17" i="6"/>
  <c r="C18" i="6"/>
  <c r="D18" i="6"/>
  <c r="E18" i="6"/>
  <c r="F18" i="6"/>
  <c r="G18" i="6"/>
  <c r="H18" i="6"/>
  <c r="I18" i="6"/>
  <c r="J18" i="6"/>
  <c r="K18" i="6"/>
  <c r="L18" i="6"/>
  <c r="C19" i="6"/>
  <c r="D19" i="6"/>
  <c r="E19" i="6"/>
  <c r="F19" i="6"/>
  <c r="G19" i="6"/>
  <c r="H19" i="6"/>
  <c r="I19" i="6"/>
  <c r="J19" i="6"/>
  <c r="K19" i="6"/>
  <c r="L19" i="6"/>
  <c r="C20" i="6"/>
  <c r="D20" i="6"/>
  <c r="E20" i="6"/>
  <c r="F20" i="6"/>
  <c r="G20" i="6"/>
  <c r="H20" i="6"/>
  <c r="I20" i="6"/>
  <c r="J20" i="6"/>
  <c r="K20" i="6"/>
  <c r="L20" i="6"/>
  <c r="T148" i="6" l="1"/>
  <c r="T149" i="6"/>
  <c r="X149" i="6" l="1"/>
  <c r="D16" i="7" l="1"/>
  <c r="D17" i="7"/>
  <c r="C17" i="7"/>
  <c r="C16" i="7"/>
  <c r="D13" i="7" l="1"/>
  <c r="E13" i="7"/>
  <c r="C13" i="7"/>
  <c r="T147" i="6"/>
  <c r="E159" i="6" l="1"/>
  <c r="D8" i="7" l="1"/>
  <c r="D10" i="7" s="1"/>
  <c r="AD149" i="6" l="1"/>
  <c r="AD148" i="6"/>
  <c r="AE145" i="6"/>
  <c r="AF145" i="6"/>
  <c r="AG145" i="6"/>
  <c r="AH145" i="6"/>
  <c r="AI145" i="6"/>
  <c r="AJ145" i="6"/>
  <c r="AK145" i="6"/>
  <c r="AL145" i="6"/>
  <c r="AM145" i="6"/>
  <c r="AE146" i="6"/>
  <c r="AF146" i="6"/>
  <c r="AG146" i="6"/>
  <c r="AH146" i="6"/>
  <c r="AI146" i="6"/>
  <c r="AJ146" i="6"/>
  <c r="AK146" i="6"/>
  <c r="AL146" i="6"/>
  <c r="AM146" i="6"/>
  <c r="AD146" i="6"/>
  <c r="AD145" i="6"/>
  <c r="U148" i="6"/>
  <c r="U149" i="6"/>
  <c r="U147" i="6"/>
  <c r="R148" i="6"/>
  <c r="R149" i="6"/>
  <c r="R147" i="6"/>
  <c r="D166" i="6"/>
  <c r="C166" i="6"/>
  <c r="D159" i="6"/>
  <c r="D158" i="6"/>
  <c r="Q79" i="6"/>
  <c r="Q78" i="6"/>
  <c r="I68" i="6"/>
  <c r="H68" i="6"/>
  <c r="I63" i="6"/>
  <c r="H63" i="6"/>
  <c r="D68" i="6"/>
  <c r="D63" i="6"/>
  <c r="C64" i="6"/>
  <c r="C65" i="6"/>
  <c r="C66" i="6"/>
  <c r="C67" i="6"/>
  <c r="C68" i="6"/>
  <c r="C69" i="6"/>
  <c r="C70" i="6"/>
  <c r="C71" i="6"/>
  <c r="C72" i="6"/>
  <c r="C73" i="6"/>
  <c r="C74" i="6"/>
  <c r="C63" i="6"/>
  <c r="AE45" i="6"/>
  <c r="AD45" i="6"/>
  <c r="AB46" i="6"/>
  <c r="AB47" i="6"/>
  <c r="AB48" i="6"/>
  <c r="AB49" i="6"/>
  <c r="AB50" i="6"/>
  <c r="AB51" i="6"/>
  <c r="AB52" i="6"/>
  <c r="AB53" i="6"/>
  <c r="AB54" i="6"/>
  <c r="AB55" i="6"/>
  <c r="AB56" i="6"/>
  <c r="AB45" i="6"/>
  <c r="D45" i="6"/>
  <c r="E45" i="6"/>
  <c r="F45" i="6"/>
  <c r="G45" i="6"/>
  <c r="H45" i="6"/>
  <c r="I45" i="6"/>
  <c r="J45" i="6"/>
  <c r="K45" i="6"/>
  <c r="D46" i="6"/>
  <c r="E46" i="6"/>
  <c r="F46" i="6"/>
  <c r="G46" i="6"/>
  <c r="H46" i="6"/>
  <c r="I46" i="6"/>
  <c r="J46" i="6"/>
  <c r="K46" i="6"/>
  <c r="D47" i="6"/>
  <c r="E47" i="6"/>
  <c r="F47" i="6"/>
  <c r="G47" i="6"/>
  <c r="H47" i="6"/>
  <c r="I47" i="6"/>
  <c r="J47" i="6"/>
  <c r="K47" i="6"/>
  <c r="D48" i="6"/>
  <c r="E48" i="6"/>
  <c r="F48" i="6"/>
  <c r="G48" i="6"/>
  <c r="H48" i="6"/>
  <c r="I48" i="6"/>
  <c r="J48" i="6"/>
  <c r="K48" i="6"/>
  <c r="D49" i="6"/>
  <c r="E49" i="6"/>
  <c r="F49" i="6"/>
  <c r="G49" i="6"/>
  <c r="H49" i="6"/>
  <c r="I49" i="6"/>
  <c r="J49" i="6"/>
  <c r="K49" i="6"/>
  <c r="D50" i="6"/>
  <c r="E50" i="6"/>
  <c r="F50" i="6"/>
  <c r="G50" i="6"/>
  <c r="H50" i="6"/>
  <c r="I50" i="6"/>
  <c r="J50" i="6"/>
  <c r="K50" i="6"/>
  <c r="D51" i="6"/>
  <c r="E51" i="6"/>
  <c r="F51" i="6"/>
  <c r="G51" i="6"/>
  <c r="H51" i="6"/>
  <c r="I51" i="6"/>
  <c r="J51" i="6"/>
  <c r="K51" i="6"/>
  <c r="D52" i="6"/>
  <c r="E52" i="6"/>
  <c r="F52" i="6"/>
  <c r="G52" i="6"/>
  <c r="H52" i="6"/>
  <c r="I52" i="6"/>
  <c r="J52" i="6"/>
  <c r="K52" i="6"/>
  <c r="D53" i="6"/>
  <c r="E53" i="6"/>
  <c r="F53" i="6"/>
  <c r="G53" i="6"/>
  <c r="H53" i="6"/>
  <c r="I53" i="6"/>
  <c r="J53" i="6"/>
  <c r="K53" i="6"/>
  <c r="D54" i="6"/>
  <c r="E54" i="6"/>
  <c r="F54" i="6"/>
  <c r="G54" i="6"/>
  <c r="H54" i="6"/>
  <c r="I54" i="6"/>
  <c r="J54" i="6"/>
  <c r="K54" i="6"/>
  <c r="D55" i="6"/>
  <c r="E55" i="6"/>
  <c r="F55" i="6"/>
  <c r="G55" i="6"/>
  <c r="H55" i="6"/>
  <c r="I55" i="6"/>
  <c r="J55" i="6"/>
  <c r="K55" i="6"/>
  <c r="D56" i="6"/>
  <c r="E56" i="6"/>
  <c r="F56" i="6"/>
  <c r="G56" i="6"/>
  <c r="H56" i="6"/>
  <c r="I56" i="6"/>
  <c r="J56" i="6"/>
  <c r="K56" i="6"/>
  <c r="C46" i="6"/>
  <c r="C47" i="6"/>
  <c r="C48" i="6"/>
  <c r="C49" i="6"/>
  <c r="C50" i="6"/>
  <c r="C51" i="6"/>
  <c r="C52" i="6"/>
  <c r="C53" i="6"/>
  <c r="C54" i="6"/>
  <c r="C55" i="6"/>
  <c r="C56" i="6"/>
  <c r="C45" i="6"/>
  <c r="E27" i="6"/>
  <c r="L27" i="6"/>
  <c r="E28" i="6"/>
  <c r="L28" i="6"/>
  <c r="E29" i="6"/>
  <c r="L29" i="6"/>
  <c r="E30" i="6"/>
  <c r="L30" i="6"/>
  <c r="E31" i="6"/>
  <c r="L31" i="6"/>
  <c r="E32" i="6"/>
  <c r="L32" i="6"/>
  <c r="E33" i="6"/>
  <c r="L33" i="6"/>
  <c r="E34" i="6"/>
  <c r="L34" i="6"/>
  <c r="E35" i="6"/>
  <c r="L35" i="6"/>
  <c r="E36" i="6"/>
  <c r="L36" i="6"/>
  <c r="E37" i="6"/>
  <c r="L37" i="6"/>
  <c r="E38" i="6"/>
  <c r="L38" i="6"/>
  <c r="O45" i="6" l="1"/>
  <c r="C147" i="6"/>
  <c r="C84" i="6"/>
  <c r="C79" i="6"/>
  <c r="F159" i="6"/>
  <c r="C281" i="6" s="1"/>
  <c r="F158" i="6"/>
  <c r="C280" i="6" s="1"/>
  <c r="C182" i="6" l="1"/>
  <c r="C183" i="6"/>
  <c r="I214" i="6"/>
  <c r="J214" i="6"/>
  <c r="I212" i="6"/>
  <c r="J212" i="6"/>
  <c r="Q160" i="6"/>
  <c r="I213" i="6"/>
  <c r="J213" i="6"/>
  <c r="L147" i="6"/>
  <c r="C80" i="6"/>
  <c r="AF45" i="6" l="1"/>
  <c r="M45" i="6"/>
  <c r="G79" i="6"/>
  <c r="G80" i="6" s="1"/>
  <c r="G81" i="6" s="1"/>
  <c r="H84" i="6"/>
  <c r="AB57" i="6"/>
  <c r="E79" i="6"/>
  <c r="E80" i="6" s="1"/>
  <c r="E81" i="6" s="1"/>
  <c r="C57" i="6"/>
  <c r="C181" i="6" s="1"/>
  <c r="C149" i="6"/>
  <c r="D57" i="6"/>
  <c r="D149" i="6"/>
  <c r="E149" i="6"/>
  <c r="H64" i="6"/>
  <c r="H65" i="6"/>
  <c r="H66" i="6"/>
  <c r="H67" i="6"/>
  <c r="T135" i="6"/>
  <c r="Q135" i="6"/>
  <c r="F57" i="6"/>
  <c r="F149" i="6"/>
  <c r="G57" i="6"/>
  <c r="G149" i="6"/>
  <c r="H57" i="6"/>
  <c r="H149" i="6"/>
  <c r="I57" i="6"/>
  <c r="I149" i="6"/>
  <c r="J57" i="6"/>
  <c r="J149" i="6"/>
  <c r="H69" i="6"/>
  <c r="H70" i="6"/>
  <c r="H71" i="6"/>
  <c r="T131" i="6"/>
  <c r="Q131" i="6"/>
  <c r="P45" i="6"/>
  <c r="Q45" i="6"/>
  <c r="R45" i="6"/>
  <c r="R47" i="6" s="1"/>
  <c r="S45" i="6"/>
  <c r="T45" i="6"/>
  <c r="U45" i="6"/>
  <c r="V45" i="6"/>
  <c r="W45" i="6"/>
  <c r="O49" i="6"/>
  <c r="P49" i="6"/>
  <c r="Q49" i="6"/>
  <c r="R49" i="6"/>
  <c r="S49" i="6"/>
  <c r="T49" i="6"/>
  <c r="U49" i="6"/>
  <c r="V49" i="6"/>
  <c r="W49" i="6"/>
  <c r="D147" i="6"/>
  <c r="E147" i="6"/>
  <c r="F147" i="6"/>
  <c r="G147" i="6"/>
  <c r="H147" i="6"/>
  <c r="I147" i="6"/>
  <c r="J147" i="6"/>
  <c r="K147" i="6"/>
  <c r="K149" i="6"/>
  <c r="D74" i="6"/>
  <c r="D73" i="6"/>
  <c r="D72" i="6"/>
  <c r="D71" i="6"/>
  <c r="D70" i="6"/>
  <c r="D69" i="6"/>
  <c r="D67" i="6"/>
  <c r="D66" i="6"/>
  <c r="D65" i="6"/>
  <c r="D64" i="6"/>
  <c r="Q81" i="6"/>
  <c r="E57" i="6"/>
  <c r="D79" i="6"/>
  <c r="D80" i="6" s="1"/>
  <c r="H79" i="6"/>
  <c r="H80" i="6" s="1"/>
  <c r="H81" i="6" s="1"/>
  <c r="E265" i="6"/>
  <c r="F265" i="6" s="1"/>
  <c r="F68" i="7" s="1"/>
  <c r="C265" i="6"/>
  <c r="C68" i="7" s="1"/>
  <c r="C105" i="7" s="1"/>
  <c r="I105" i="7" s="1"/>
  <c r="H154" i="6"/>
  <c r="J79" i="6"/>
  <c r="J80" i="6" s="1"/>
  <c r="J81" i="6" s="1"/>
  <c r="R167" i="6"/>
  <c r="Q167" i="6"/>
  <c r="C25" i="6"/>
  <c r="D25" i="6"/>
  <c r="E25" i="6"/>
  <c r="F25" i="6"/>
  <c r="G25" i="6"/>
  <c r="H25" i="6"/>
  <c r="I25" i="6"/>
  <c r="J25" i="6"/>
  <c r="K25" i="6"/>
  <c r="L25" i="6"/>
  <c r="F84" i="6"/>
  <c r="G84" i="6"/>
  <c r="J84" i="6"/>
  <c r="K84" i="6"/>
  <c r="K57" i="6"/>
  <c r="Q50" i="6"/>
  <c r="D159" i="7"/>
  <c r="E159" i="7"/>
  <c r="F159" i="7"/>
  <c r="G159" i="7"/>
  <c r="H159" i="7"/>
  <c r="I159" i="7"/>
  <c r="J159" i="7"/>
  <c r="C159" i="7"/>
  <c r="E243" i="6"/>
  <c r="E46" i="7" s="1"/>
  <c r="E87" i="7" s="1"/>
  <c r="D243" i="6"/>
  <c r="D46" i="7" s="1"/>
  <c r="D87" i="7" s="1"/>
  <c r="F243" i="6"/>
  <c r="F46" i="7" s="1"/>
  <c r="F87" i="7" s="1"/>
  <c r="G243" i="6"/>
  <c r="G46" i="7" s="1"/>
  <c r="G87" i="7" s="1"/>
  <c r="H243" i="6"/>
  <c r="H46" i="7" s="1"/>
  <c r="H87" i="7" s="1"/>
  <c r="I243" i="6"/>
  <c r="I46" i="7" s="1"/>
  <c r="I87" i="7" s="1"/>
  <c r="J243" i="6"/>
  <c r="J46" i="7" s="1"/>
  <c r="J87" i="7" s="1"/>
  <c r="C243" i="6"/>
  <c r="C46" i="7" s="1"/>
  <c r="C87" i="7" s="1"/>
  <c r="O9" i="6"/>
  <c r="O10" i="6"/>
  <c r="O11" i="6"/>
  <c r="O12" i="6"/>
  <c r="O13" i="6"/>
  <c r="O61" i="6"/>
  <c r="O65" i="6"/>
  <c r="P61" i="6"/>
  <c r="P65" i="6"/>
  <c r="Q61" i="6"/>
  <c r="Q65" i="6"/>
  <c r="R61" i="6"/>
  <c r="R65" i="6"/>
  <c r="S61" i="6"/>
  <c r="S65" i="6"/>
  <c r="T61" i="6"/>
  <c r="T65" i="6"/>
  <c r="U61" i="6"/>
  <c r="U65" i="6"/>
  <c r="V61" i="6"/>
  <c r="V65" i="6"/>
  <c r="W61" i="6"/>
  <c r="W65" i="6"/>
  <c r="D161" i="6"/>
  <c r="C161" i="6"/>
  <c r="E68" i="6"/>
  <c r="E63" i="6"/>
  <c r="I70" i="6"/>
  <c r="I71" i="6"/>
  <c r="I69" i="6"/>
  <c r="I74" i="6"/>
  <c r="I73" i="6"/>
  <c r="I72" i="6"/>
  <c r="I65" i="6"/>
  <c r="I66" i="6"/>
  <c r="I67" i="6"/>
  <c r="I64" i="6"/>
  <c r="X9" i="6"/>
  <c r="X10" i="6"/>
  <c r="X11" i="6"/>
  <c r="X12" i="6"/>
  <c r="X13" i="6"/>
  <c r="H72" i="6"/>
  <c r="H73" i="6"/>
  <c r="H74" i="6"/>
  <c r="L144" i="6"/>
  <c r="K144" i="6"/>
  <c r="D209" i="6"/>
  <c r="J209" i="6" s="1"/>
  <c r="C209" i="6"/>
  <c r="I209" i="6" s="1"/>
  <c r="L128" i="6"/>
  <c r="AD128" i="6" s="1"/>
  <c r="E128" i="6"/>
  <c r="AC128" i="6" s="1"/>
  <c r="C286" i="6"/>
  <c r="D176" i="6"/>
  <c r="E176" i="6"/>
  <c r="F176" i="6"/>
  <c r="G176" i="6"/>
  <c r="H176" i="6"/>
  <c r="I176" i="6"/>
  <c r="J176" i="6"/>
  <c r="C176" i="6"/>
  <c r="X38" i="6"/>
  <c r="X30" i="6"/>
  <c r="Q46"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X36" i="6"/>
  <c r="Q36" i="6"/>
  <c r="X35" i="6"/>
  <c r="Q35" i="6"/>
  <c r="X34" i="6"/>
  <c r="Q34" i="6"/>
  <c r="X33" i="6"/>
  <c r="Q33" i="6"/>
  <c r="X32" i="6"/>
  <c r="Q32" i="6"/>
  <c r="X31" i="6"/>
  <c r="Q31" i="6"/>
  <c r="Q30" i="6"/>
  <c r="X29" i="6"/>
  <c r="Q29" i="6"/>
  <c r="X28" i="6"/>
  <c r="Q28" i="6"/>
  <c r="X27" i="6"/>
  <c r="Q27" i="6"/>
  <c r="P9" i="6"/>
  <c r="Q9" i="6"/>
  <c r="R9" i="6"/>
  <c r="S9" i="6"/>
  <c r="W9" i="6"/>
  <c r="T9" i="6"/>
  <c r="U9" i="6"/>
  <c r="V9" i="6"/>
  <c r="P10" i="6"/>
  <c r="Q10" i="6"/>
  <c r="R10" i="6"/>
  <c r="S10" i="6"/>
  <c r="W10" i="6"/>
  <c r="T10" i="6"/>
  <c r="U10" i="6"/>
  <c r="V10" i="6"/>
  <c r="P11" i="6"/>
  <c r="Q11" i="6"/>
  <c r="R11" i="6"/>
  <c r="S11" i="6"/>
  <c r="W11" i="6"/>
  <c r="T11" i="6"/>
  <c r="U11" i="6"/>
  <c r="V11" i="6"/>
  <c r="P12" i="6"/>
  <c r="Q12" i="6"/>
  <c r="R12" i="6"/>
  <c r="S12" i="6"/>
  <c r="W12" i="6"/>
  <c r="T12" i="6"/>
  <c r="U12" i="6"/>
  <c r="V12" i="6"/>
  <c r="P13" i="6"/>
  <c r="Q13" i="6"/>
  <c r="R13" i="6"/>
  <c r="S13" i="6"/>
  <c r="W13" i="6"/>
  <c r="T13" i="6"/>
  <c r="U13" i="6"/>
  <c r="V13" i="6"/>
  <c r="P14" i="6"/>
  <c r="Q14" i="6"/>
  <c r="R14" i="6"/>
  <c r="S14" i="6"/>
  <c r="W14" i="6"/>
  <c r="T14" i="6"/>
  <c r="X14" i="6"/>
  <c r="U14" i="6"/>
  <c r="V14" i="6"/>
  <c r="P15" i="6"/>
  <c r="Q15" i="6"/>
  <c r="R15" i="6"/>
  <c r="S15" i="6"/>
  <c r="W15" i="6"/>
  <c r="T15" i="6"/>
  <c r="X15" i="6"/>
  <c r="U15" i="6"/>
  <c r="V15" i="6"/>
  <c r="P16" i="6"/>
  <c r="Q16" i="6"/>
  <c r="R16" i="6"/>
  <c r="S16" i="6"/>
  <c r="W16" i="6"/>
  <c r="T16" i="6"/>
  <c r="X16" i="6"/>
  <c r="U16" i="6"/>
  <c r="V16" i="6"/>
  <c r="P17" i="6"/>
  <c r="Q17" i="6"/>
  <c r="R17" i="6"/>
  <c r="S17" i="6"/>
  <c r="W17" i="6"/>
  <c r="T17" i="6"/>
  <c r="X17" i="6"/>
  <c r="U17" i="6"/>
  <c r="V17" i="6"/>
  <c r="P18" i="6"/>
  <c r="Q18" i="6"/>
  <c r="R18" i="6"/>
  <c r="S18" i="6"/>
  <c r="W18" i="6"/>
  <c r="T18" i="6"/>
  <c r="X18" i="6"/>
  <c r="U18" i="6"/>
  <c r="V18" i="6"/>
  <c r="P19" i="6"/>
  <c r="Q19" i="6"/>
  <c r="R19" i="6"/>
  <c r="S19" i="6"/>
  <c r="W19" i="6"/>
  <c r="T19" i="6"/>
  <c r="X19" i="6"/>
  <c r="U19" i="6"/>
  <c r="V19" i="6"/>
  <c r="P20" i="6"/>
  <c r="Q20" i="6"/>
  <c r="R20" i="6"/>
  <c r="S20" i="6"/>
  <c r="W20" i="6"/>
  <c r="T20" i="6"/>
  <c r="X20" i="6"/>
  <c r="U20" i="6"/>
  <c r="V20" i="6"/>
  <c r="O14" i="6"/>
  <c r="O15" i="6"/>
  <c r="O16" i="6"/>
  <c r="O17" i="6"/>
  <c r="O18" i="6"/>
  <c r="O19" i="6"/>
  <c r="O20" i="6"/>
  <c r="K79" i="6"/>
  <c r="K80" i="6" s="1"/>
  <c r="F79" i="6"/>
  <c r="F80" i="6" s="1"/>
  <c r="I79" i="6"/>
  <c r="I80" i="6" s="1"/>
  <c r="L79" i="6"/>
  <c r="L80" i="6" s="1"/>
  <c r="L81" i="6" s="1"/>
  <c r="C81" i="6"/>
  <c r="D84" i="6"/>
  <c r="C85" i="6"/>
  <c r="I84" i="6"/>
  <c r="E84" i="6"/>
  <c r="L84" i="6"/>
  <c r="J182" i="6" l="1"/>
  <c r="J183" i="6"/>
  <c r="F182" i="6"/>
  <c r="F183" i="6"/>
  <c r="I182" i="6"/>
  <c r="I183" i="6"/>
  <c r="E182" i="6"/>
  <c r="E183" i="6"/>
  <c r="H182" i="6"/>
  <c r="H183" i="6"/>
  <c r="D182" i="6"/>
  <c r="D183" i="6"/>
  <c r="G182" i="6"/>
  <c r="G183" i="6"/>
  <c r="E65" i="6"/>
  <c r="L85" i="6"/>
  <c r="L86" i="6" s="1"/>
  <c r="Q128" i="6"/>
  <c r="AA128" i="6"/>
  <c r="R128" i="6"/>
  <c r="E68" i="7"/>
  <c r="J68" i="7" s="1"/>
  <c r="T150" i="6"/>
  <c r="D265" i="6"/>
  <c r="D68" i="7" s="1"/>
  <c r="C86" i="6"/>
  <c r="K85" i="6"/>
  <c r="K86" i="6" s="1"/>
  <c r="E85" i="6"/>
  <c r="E86" i="6" s="1"/>
  <c r="T132" i="6"/>
  <c r="T128" i="6"/>
  <c r="Z128" i="6"/>
  <c r="C163" i="6"/>
  <c r="H95" i="6"/>
  <c r="H113" i="6" s="1"/>
  <c r="X128" i="6"/>
  <c r="W128" i="6"/>
  <c r="D163" i="6"/>
  <c r="D81" i="6"/>
  <c r="U66" i="6"/>
  <c r="Q66" i="6"/>
  <c r="R66" i="6"/>
  <c r="Q62" i="6"/>
  <c r="L149" i="6"/>
  <c r="T62" i="6"/>
  <c r="R62" i="6"/>
  <c r="E69" i="6"/>
  <c r="E73" i="6"/>
  <c r="P47" i="6"/>
  <c r="L45" i="6"/>
  <c r="W62" i="6"/>
  <c r="O47" i="6"/>
  <c r="J268" i="6"/>
  <c r="C99" i="6"/>
  <c r="F85" i="6"/>
  <c r="F86" i="6" s="1"/>
  <c r="Q51" i="6"/>
  <c r="E67" i="6"/>
  <c r="C177" i="7"/>
  <c r="I177" i="7" s="1"/>
  <c r="I68" i="7"/>
  <c r="C95" i="6"/>
  <c r="J95" i="6"/>
  <c r="H99" i="6"/>
  <c r="G99" i="6"/>
  <c r="K99" i="6"/>
  <c r="J99" i="6"/>
  <c r="E70" i="6"/>
  <c r="E72" i="6"/>
  <c r="E66" i="6"/>
  <c r="E74" i="6"/>
  <c r="W66" i="6"/>
  <c r="S66" i="6"/>
  <c r="O66" i="6"/>
  <c r="S62" i="6"/>
  <c r="Q47" i="6"/>
  <c r="W131" i="6"/>
  <c r="T68" i="6"/>
  <c r="U68" i="6"/>
  <c r="W68" i="6"/>
  <c r="U62" i="6"/>
  <c r="W135" i="6"/>
  <c r="Q68" i="6"/>
  <c r="T66" i="6"/>
  <c r="J85" i="6"/>
  <c r="J86" i="6" s="1"/>
  <c r="D85" i="6"/>
  <c r="H85" i="6"/>
  <c r="H86" i="6" s="1"/>
  <c r="G85" i="6"/>
  <c r="G86" i="6" s="1"/>
  <c r="I85" i="6"/>
  <c r="I86" i="6" s="1"/>
  <c r="D99" i="6"/>
  <c r="K81" i="6"/>
  <c r="I95" i="6"/>
  <c r="E95" i="6"/>
  <c r="D95" i="6"/>
  <c r="G95" i="6"/>
  <c r="E99" i="6"/>
  <c r="F99" i="6"/>
  <c r="E71" i="6"/>
  <c r="E64" i="6"/>
  <c r="V66" i="6"/>
  <c r="P66" i="6"/>
  <c r="O68" i="6"/>
  <c r="O62" i="6"/>
  <c r="Q136" i="6"/>
  <c r="Q132" i="6"/>
  <c r="S68" i="6"/>
  <c r="V68" i="6"/>
  <c r="R68" i="6"/>
  <c r="P68" i="6"/>
  <c r="V62" i="6"/>
  <c r="T136" i="6"/>
  <c r="F95" i="6"/>
  <c r="F81" i="6"/>
  <c r="I99" i="6"/>
  <c r="K95" i="6"/>
  <c r="I81" i="6"/>
  <c r="U128" i="6"/>
  <c r="P62" i="6"/>
  <c r="L51" i="6"/>
  <c r="L47" i="6"/>
  <c r="L54" i="6"/>
  <c r="L50" i="6"/>
  <c r="L56" i="6"/>
  <c r="L53" i="6"/>
  <c r="L49" i="6"/>
  <c r="L46" i="6"/>
  <c r="L55" i="6"/>
  <c r="L52" i="6"/>
  <c r="L48" i="6"/>
  <c r="I268" i="6"/>
  <c r="O53" i="6" l="1"/>
  <c r="P53" i="6"/>
  <c r="E105" i="7"/>
  <c r="J105" i="7" s="1"/>
  <c r="W69" i="6"/>
  <c r="D164" i="6"/>
  <c r="C164" i="6"/>
  <c r="I117" i="6"/>
  <c r="W132" i="6"/>
  <c r="G117" i="6"/>
  <c r="D117" i="6"/>
  <c r="T69" i="6"/>
  <c r="U69" i="6"/>
  <c r="J94" i="6"/>
  <c r="H117" i="6"/>
  <c r="F113" i="6"/>
  <c r="Q69" i="6"/>
  <c r="O69" i="6"/>
  <c r="F117" i="6"/>
  <c r="E113" i="6"/>
  <c r="S69" i="6"/>
  <c r="J117" i="6"/>
  <c r="J113" i="6"/>
  <c r="W136" i="6"/>
  <c r="G113" i="6"/>
  <c r="D113" i="6"/>
  <c r="K113" i="6"/>
  <c r="E117" i="6"/>
  <c r="I113" i="6"/>
  <c r="R69" i="6"/>
  <c r="K117" i="6"/>
  <c r="C113" i="6"/>
  <c r="C117" i="6"/>
  <c r="D100" i="6"/>
  <c r="K100" i="6"/>
  <c r="E100" i="6"/>
  <c r="I100" i="6"/>
  <c r="G94" i="6"/>
  <c r="H98" i="6"/>
  <c r="C100" i="6"/>
  <c r="C98" i="6"/>
  <c r="D94" i="6"/>
  <c r="H96" i="6"/>
  <c r="K94" i="6"/>
  <c r="H100" i="6"/>
  <c r="F98" i="6"/>
  <c r="D98" i="6"/>
  <c r="K98" i="6"/>
  <c r="P69" i="6"/>
  <c r="D86" i="6"/>
  <c r="J96" i="6"/>
  <c r="K96" i="6"/>
  <c r="G96" i="6"/>
  <c r="F96" i="6"/>
  <c r="E96" i="6"/>
  <c r="I94" i="6"/>
  <c r="I96" i="6"/>
  <c r="E94" i="6"/>
  <c r="F94" i="6"/>
  <c r="D96" i="6"/>
  <c r="C96" i="6"/>
  <c r="C94" i="6"/>
  <c r="H94" i="6"/>
  <c r="G100" i="6"/>
  <c r="G98" i="6"/>
  <c r="J100" i="6"/>
  <c r="F100" i="6"/>
  <c r="J98" i="6"/>
  <c r="E98" i="6"/>
  <c r="I98" i="6"/>
  <c r="U135" i="6"/>
  <c r="V69" i="6"/>
  <c r="V147" i="6"/>
  <c r="V149" i="6"/>
  <c r="V148" i="6"/>
  <c r="X45" i="6"/>
  <c r="C353" i="6" s="1"/>
  <c r="C21" i="7" s="1"/>
  <c r="L57" i="6"/>
  <c r="R131" i="6"/>
  <c r="X65" i="6"/>
  <c r="X49" i="6"/>
  <c r="U132" i="6"/>
  <c r="L95" i="6"/>
  <c r="X50" i="6"/>
  <c r="U131" i="6"/>
  <c r="L96" i="6"/>
  <c r="R132" i="6"/>
  <c r="L94" i="6"/>
  <c r="R135" i="6"/>
  <c r="L99" i="6"/>
  <c r="X46" i="6"/>
  <c r="L100" i="6"/>
  <c r="R136" i="6"/>
  <c r="X61" i="6"/>
  <c r="L98" i="6"/>
  <c r="U136" i="6"/>
  <c r="E135" i="6" l="1"/>
  <c r="P54" i="6"/>
  <c r="O54" i="6"/>
  <c r="E177" i="7"/>
  <c r="L114" i="6"/>
  <c r="H112" i="6"/>
  <c r="K116" i="6"/>
  <c r="L118" i="6"/>
  <c r="Y65" i="6"/>
  <c r="G116" i="6"/>
  <c r="C114" i="6"/>
  <c r="I114" i="6"/>
  <c r="G114" i="6"/>
  <c r="F116" i="6"/>
  <c r="D112" i="6"/>
  <c r="G112" i="6"/>
  <c r="G130" i="6" s="1"/>
  <c r="D118" i="6"/>
  <c r="J112" i="6"/>
  <c r="L116" i="6"/>
  <c r="L134" i="6" s="1"/>
  <c r="L113" i="6"/>
  <c r="J116" i="6"/>
  <c r="G118" i="6"/>
  <c r="D114" i="6"/>
  <c r="I112" i="6"/>
  <c r="K114" i="6"/>
  <c r="H118" i="6"/>
  <c r="C116" i="6"/>
  <c r="I118" i="6"/>
  <c r="L117" i="6"/>
  <c r="F118" i="6"/>
  <c r="F112" i="6"/>
  <c r="F130" i="6" s="1"/>
  <c r="J114" i="6"/>
  <c r="K112" i="6"/>
  <c r="C118" i="6"/>
  <c r="E118" i="6"/>
  <c r="J118" i="6"/>
  <c r="C112" i="6"/>
  <c r="E112" i="6"/>
  <c r="E130" i="6" s="1"/>
  <c r="F114" i="6"/>
  <c r="D116" i="6"/>
  <c r="H114" i="6"/>
  <c r="H116" i="6"/>
  <c r="K118" i="6"/>
  <c r="D102" i="6"/>
  <c r="E102" i="6"/>
  <c r="J102" i="6"/>
  <c r="K102" i="6"/>
  <c r="V150" i="6"/>
  <c r="H102" i="6"/>
  <c r="F102" i="6"/>
  <c r="G102" i="6"/>
  <c r="C102" i="6"/>
  <c r="E114" i="6"/>
  <c r="E131" i="6"/>
  <c r="E116" i="6"/>
  <c r="I116" i="6"/>
  <c r="I102" i="6"/>
  <c r="X135" i="6"/>
  <c r="X132" i="6"/>
  <c r="X131" i="6"/>
  <c r="X62" i="6"/>
  <c r="Y45" i="6"/>
  <c r="X47" i="6"/>
  <c r="X68" i="6"/>
  <c r="Y61" i="6"/>
  <c r="L112" i="6"/>
  <c r="L102" i="6"/>
  <c r="X51" i="6"/>
  <c r="Y49" i="6"/>
  <c r="C352" i="6"/>
  <c r="X66" i="6"/>
  <c r="X136" i="6"/>
  <c r="J269" i="6"/>
  <c r="J270" i="6"/>
  <c r="I270" i="6"/>
  <c r="E181" i="6"/>
  <c r="D181" i="6"/>
  <c r="G181" i="6"/>
  <c r="I181" i="6"/>
  <c r="H181" i="6"/>
  <c r="J181" i="6"/>
  <c r="F181" i="6"/>
  <c r="I269" i="6"/>
  <c r="Z135" i="6" l="1"/>
  <c r="C354" i="6"/>
  <c r="C10" i="7" s="1"/>
  <c r="C130" i="6"/>
  <c r="J177" i="7"/>
  <c r="H120" i="6"/>
  <c r="AD137" i="6"/>
  <c r="AC133" i="6"/>
  <c r="C20" i="7"/>
  <c r="L131" i="6"/>
  <c r="J130" i="6"/>
  <c r="F134" i="6"/>
  <c r="G134" i="6"/>
  <c r="H130" i="6"/>
  <c r="G120" i="6"/>
  <c r="D215" i="6"/>
  <c r="L132" i="6"/>
  <c r="E120" i="6"/>
  <c r="J120" i="6"/>
  <c r="D134" i="6"/>
  <c r="K130" i="6"/>
  <c r="K120" i="6"/>
  <c r="J134" i="6"/>
  <c r="L136" i="6"/>
  <c r="D217" i="6" s="1"/>
  <c r="F120" i="6"/>
  <c r="L135" i="6"/>
  <c r="D216" i="6" s="1"/>
  <c r="Z131" i="6"/>
  <c r="D120" i="6"/>
  <c r="I130" i="6"/>
  <c r="Y66" i="6"/>
  <c r="Y68" i="6"/>
  <c r="F138" i="6"/>
  <c r="E132" i="6"/>
  <c r="C120" i="6"/>
  <c r="H134" i="6"/>
  <c r="E136" i="6"/>
  <c r="C134" i="6"/>
  <c r="D130" i="6"/>
  <c r="K134" i="6"/>
  <c r="D155" i="6"/>
  <c r="C104" i="6"/>
  <c r="E134" i="6"/>
  <c r="AC137" i="6"/>
  <c r="I134" i="6"/>
  <c r="I120" i="6"/>
  <c r="X69" i="6"/>
  <c r="Y62" i="6"/>
  <c r="AD133" i="6"/>
  <c r="L130" i="6"/>
  <c r="L120" i="6"/>
  <c r="Z45" i="6"/>
  <c r="J72" i="7"/>
  <c r="J71" i="7"/>
  <c r="I72" i="7"/>
  <c r="I71" i="7"/>
  <c r="AA136" i="6" l="1"/>
  <c r="AA135" i="6"/>
  <c r="E196" i="6"/>
  <c r="D213" i="6"/>
  <c r="J178" i="6"/>
  <c r="J194" i="6" s="1"/>
  <c r="J302" i="6" s="1"/>
  <c r="H178" i="6"/>
  <c r="Z132" i="6"/>
  <c r="J109" i="7"/>
  <c r="K138" i="6"/>
  <c r="C211" i="6"/>
  <c r="D212" i="6"/>
  <c r="I108" i="7"/>
  <c r="Z49" i="6"/>
  <c r="Z61" i="6"/>
  <c r="AA131" i="6"/>
  <c r="I109" i="7"/>
  <c r="Y69" i="6"/>
  <c r="AA132" i="6"/>
  <c r="C215" i="6"/>
  <c r="J138" i="6"/>
  <c r="J108" i="7"/>
  <c r="D138" i="6"/>
  <c r="Z65" i="6"/>
  <c r="H138" i="6"/>
  <c r="C138" i="6"/>
  <c r="I138" i="6"/>
  <c r="E138" i="6"/>
  <c r="E202" i="6"/>
  <c r="Z136" i="6"/>
  <c r="G138" i="6"/>
  <c r="I217" i="6"/>
  <c r="E178" i="6"/>
  <c r="J217" i="6"/>
  <c r="C283" i="6"/>
  <c r="D178" i="6"/>
  <c r="G178" i="6"/>
  <c r="F178" i="6"/>
  <c r="C178" i="6"/>
  <c r="I178" i="6"/>
  <c r="C122" i="6"/>
  <c r="L138" i="6"/>
  <c r="D211" i="6"/>
  <c r="D228" i="6"/>
  <c r="J180" i="7" l="1"/>
  <c r="I181" i="7"/>
  <c r="I180" i="7"/>
  <c r="J181" i="7"/>
  <c r="J200" i="6"/>
  <c r="J303" i="6" s="1"/>
  <c r="J204" i="6"/>
  <c r="D224" i="6"/>
  <c r="AA137" i="6"/>
  <c r="E201" i="6"/>
  <c r="Z133" i="6"/>
  <c r="H204" i="6"/>
  <c r="H194" i="6"/>
  <c r="H302" i="6" s="1"/>
  <c r="H200" i="6"/>
  <c r="H303" i="6" s="1"/>
  <c r="C200" i="6"/>
  <c r="K303" i="6"/>
  <c r="F273" i="6"/>
  <c r="J273" i="6"/>
  <c r="C226" i="6"/>
  <c r="I273" i="6"/>
  <c r="AA133" i="6"/>
  <c r="D223" i="6"/>
  <c r="C222" i="6"/>
  <c r="Z66" i="6"/>
  <c r="Z62" i="6"/>
  <c r="D219" i="6"/>
  <c r="C204" i="6"/>
  <c r="Z68" i="6"/>
  <c r="C219" i="6"/>
  <c r="C139" i="6"/>
  <c r="Z137" i="6"/>
  <c r="L303" i="6"/>
  <c r="K302" i="6"/>
  <c r="D227" i="6"/>
  <c r="E195" i="6"/>
  <c r="D226" i="6"/>
  <c r="I194" i="6"/>
  <c r="G200" i="6"/>
  <c r="G204" i="6"/>
  <c r="G194" i="6"/>
  <c r="C194" i="6"/>
  <c r="D200" i="6"/>
  <c r="D204" i="6"/>
  <c r="D194" i="6"/>
  <c r="I200" i="6"/>
  <c r="I204" i="6"/>
  <c r="F204" i="6"/>
  <c r="F200" i="6"/>
  <c r="F194" i="6"/>
  <c r="L302" i="6"/>
  <c r="D222" i="6"/>
  <c r="F269" i="6" l="1"/>
  <c r="F72" i="7" s="1"/>
  <c r="I75" i="7"/>
  <c r="J75" i="7"/>
  <c r="E303" i="6"/>
  <c r="F76" i="7"/>
  <c r="C303" i="6"/>
  <c r="D267" i="6"/>
  <c r="F268" i="6"/>
  <c r="D271" i="6"/>
  <c r="D230" i="6"/>
  <c r="H304" i="6"/>
  <c r="H308" i="6" s="1"/>
  <c r="C230" i="6"/>
  <c r="Z69" i="6"/>
  <c r="E302" i="6"/>
  <c r="E204" i="6"/>
  <c r="K304" i="6"/>
  <c r="K307" i="6" s="1"/>
  <c r="F272" i="6"/>
  <c r="C197" i="6"/>
  <c r="G302" i="6"/>
  <c r="G303" i="6"/>
  <c r="L304" i="6"/>
  <c r="I303" i="6"/>
  <c r="D303" i="6"/>
  <c r="I302" i="6"/>
  <c r="J304" i="6"/>
  <c r="F302" i="6"/>
  <c r="D197" i="6"/>
  <c r="F303" i="6"/>
  <c r="J112" i="7" l="1"/>
  <c r="I112" i="7"/>
  <c r="D70" i="7"/>
  <c r="D74" i="7"/>
  <c r="F75" i="7"/>
  <c r="F71" i="7"/>
  <c r="K308" i="6"/>
  <c r="H307" i="6"/>
  <c r="C233" i="6"/>
  <c r="J307" i="6"/>
  <c r="L307" i="6"/>
  <c r="E304" i="6"/>
  <c r="F304" i="6"/>
  <c r="I304" i="6"/>
  <c r="C312" i="6"/>
  <c r="L308" i="6"/>
  <c r="D250" i="6"/>
  <c r="D198" i="6"/>
  <c r="J308" i="6"/>
  <c r="G304" i="6"/>
  <c r="C198" i="6"/>
  <c r="C250" i="6"/>
  <c r="G130" i="7" l="1"/>
  <c r="G129" i="7"/>
  <c r="D129" i="7"/>
  <c r="J184" i="7"/>
  <c r="I184" i="7"/>
  <c r="D130" i="7"/>
  <c r="D235" i="6"/>
  <c r="G308" i="6"/>
  <c r="E307" i="6"/>
  <c r="D234" i="6"/>
  <c r="E308" i="6"/>
  <c r="D251" i="6"/>
  <c r="D302" i="6"/>
  <c r="E317" i="6"/>
  <c r="C53" i="7"/>
  <c r="D53" i="7"/>
  <c r="I308" i="6"/>
  <c r="I307" i="6"/>
  <c r="C251" i="6"/>
  <c r="C302" i="6"/>
  <c r="F308" i="6"/>
  <c r="G307" i="6"/>
  <c r="F307" i="6"/>
  <c r="E259" i="6" l="1"/>
  <c r="E62" i="7" s="1"/>
  <c r="G131" i="7"/>
  <c r="D135" i="7"/>
  <c r="D136" i="7"/>
  <c r="D131" i="7"/>
  <c r="E275" i="6"/>
  <c r="E272" i="6"/>
  <c r="I245" i="6"/>
  <c r="I48" i="7" s="1"/>
  <c r="C322" i="6"/>
  <c r="J255" i="6"/>
  <c r="J58" i="7" s="1"/>
  <c r="C271" i="6"/>
  <c r="F259" i="6"/>
  <c r="F62" i="7" s="1"/>
  <c r="H245" i="6"/>
  <c r="H48" i="7" s="1"/>
  <c r="I255" i="6"/>
  <c r="I58" i="7" s="1"/>
  <c r="E257" i="6"/>
  <c r="E269" i="6"/>
  <c r="E256" i="6"/>
  <c r="D249" i="6"/>
  <c r="E268" i="6"/>
  <c r="D259" i="6"/>
  <c r="D62" i="7" s="1"/>
  <c r="J259" i="6"/>
  <c r="J62" i="7" s="1"/>
  <c r="H255" i="6"/>
  <c r="H58" i="7" s="1"/>
  <c r="D255" i="6"/>
  <c r="D58" i="7" s="1"/>
  <c r="G259" i="6"/>
  <c r="G62" i="7" s="1"/>
  <c r="I259" i="6"/>
  <c r="I62" i="7" s="1"/>
  <c r="C259" i="6"/>
  <c r="C62" i="7" s="1"/>
  <c r="C255" i="6"/>
  <c r="C267" i="6"/>
  <c r="E246" i="6"/>
  <c r="C275" i="6"/>
  <c r="H259" i="6"/>
  <c r="H62" i="7" s="1"/>
  <c r="C249" i="6"/>
  <c r="F255" i="6"/>
  <c r="F58" i="7" s="1"/>
  <c r="F245" i="6"/>
  <c r="J245" i="6"/>
  <c r="J48" i="7" s="1"/>
  <c r="G255" i="6"/>
  <c r="G58" i="7" s="1"/>
  <c r="E273" i="6"/>
  <c r="G245" i="6"/>
  <c r="E247" i="6"/>
  <c r="C54" i="7"/>
  <c r="D304" i="6"/>
  <c r="C311" i="6"/>
  <c r="C304" i="6"/>
  <c r="D54" i="7"/>
  <c r="K257" i="6" l="1"/>
  <c r="E75" i="7"/>
  <c r="D137" i="7"/>
  <c r="E78" i="7"/>
  <c r="E72" i="7"/>
  <c r="C78" i="7"/>
  <c r="K329" i="6"/>
  <c r="H328" i="6"/>
  <c r="D328" i="6"/>
  <c r="F329" i="6"/>
  <c r="H329" i="6"/>
  <c r="E76" i="7"/>
  <c r="G328" i="6"/>
  <c r="F328" i="6"/>
  <c r="C74" i="7"/>
  <c r="C52" i="7"/>
  <c r="E328" i="6"/>
  <c r="K328" i="6"/>
  <c r="G48" i="7"/>
  <c r="C328" i="6"/>
  <c r="F48" i="7"/>
  <c r="K247" i="6"/>
  <c r="G329" i="6"/>
  <c r="C70" i="7"/>
  <c r="D52" i="7"/>
  <c r="D329" i="6"/>
  <c r="C58" i="7"/>
  <c r="E50" i="7"/>
  <c r="L328" i="6"/>
  <c r="E59" i="7"/>
  <c r="E60" i="7"/>
  <c r="E329" i="6"/>
  <c r="L329" i="6"/>
  <c r="C329" i="6"/>
  <c r="E71" i="7"/>
  <c r="E49" i="7"/>
  <c r="C313" i="6"/>
  <c r="E316" i="6"/>
  <c r="D308" i="6"/>
  <c r="D307" i="6"/>
  <c r="C308" i="6"/>
  <c r="C307" i="6"/>
  <c r="K60" i="7" l="1"/>
  <c r="J329" i="6"/>
  <c r="I329" i="6"/>
  <c r="G330" i="6"/>
  <c r="K330" i="6"/>
  <c r="D330" i="6"/>
  <c r="H330" i="6"/>
  <c r="F330" i="6"/>
  <c r="C330" i="6"/>
  <c r="L330" i="6"/>
  <c r="J328" i="6"/>
  <c r="I328" i="6"/>
  <c r="E330" i="6"/>
  <c r="K50" i="7"/>
  <c r="C316" i="6"/>
  <c r="L316" i="6"/>
  <c r="L317" i="6"/>
  <c r="C317" i="6"/>
  <c r="E17" i="7" l="1"/>
  <c r="E16" i="7"/>
  <c r="C333" i="6"/>
  <c r="J330" i="6"/>
  <c r="I330" i="6"/>
  <c r="C332" i="6"/>
  <c r="C324" i="6"/>
  <c r="C323" i="6"/>
  <c r="C334" i="6" l="1"/>
  <c r="L339" i="6"/>
  <c r="J339" i="6"/>
  <c r="G339" i="6"/>
  <c r="E339" i="6"/>
  <c r="K339" i="6"/>
  <c r="H339" i="6"/>
  <c r="I339" i="6"/>
  <c r="F339" i="6"/>
  <c r="C339" i="6"/>
  <c r="D339" i="6"/>
  <c r="I338" i="6"/>
  <c r="K338" i="6"/>
  <c r="C338" i="6"/>
  <c r="H338" i="6"/>
  <c r="G338" i="6"/>
  <c r="L338" i="6"/>
  <c r="D338" i="6"/>
  <c r="F338" i="6"/>
  <c r="J338" i="6"/>
  <c r="E338" i="6"/>
  <c r="K340" i="6" l="1"/>
  <c r="L340" i="6"/>
  <c r="E340" i="6"/>
  <c r="F340" i="6"/>
  <c r="C342" i="6"/>
  <c r="I340" i="6"/>
  <c r="G340" i="6"/>
  <c r="D340" i="6"/>
  <c r="H340" i="6"/>
  <c r="J340" i="6"/>
  <c r="C343" i="6"/>
  <c r="C340" i="6"/>
  <c r="C344" i="6" l="1"/>
  <c r="C346" i="6" l="1"/>
  <c r="C25" i="7" l="1"/>
  <c r="C24" i="7" l="1"/>
  <c r="D24" i="7"/>
  <c r="D25" i="7"/>
  <c r="C26" i="7" l="1"/>
  <c r="E8" i="7" s="1"/>
  <c r="D26" i="7"/>
  <c r="E25" i="7" l="1"/>
  <c r="E10" i="7"/>
  <c r="E24" i="7"/>
  <c r="E26" i="7" l="1"/>
  <c r="C37" i="7" s="1"/>
  <c r="C204" i="7"/>
  <c r="C142" i="7"/>
  <c r="C30" i="7"/>
  <c r="C141" i="7"/>
  <c r="C203" i="7"/>
  <c r="C29" i="7"/>
  <c r="C32" i="7" l="1"/>
  <c r="H96" i="7" s="1"/>
  <c r="H122" i="7" s="1"/>
  <c r="C143" i="7"/>
  <c r="C205" i="7"/>
  <c r="F96" i="7" l="1"/>
  <c r="C93" i="7"/>
  <c r="E98" i="7"/>
  <c r="C36" i="7"/>
  <c r="H89" i="7"/>
  <c r="H121" i="7" s="1"/>
  <c r="E109" i="7"/>
  <c r="F89" i="7"/>
  <c r="C94" i="7"/>
  <c r="I96" i="7"/>
  <c r="J96" i="7" s="1"/>
  <c r="J122" i="7" s="1"/>
  <c r="E97" i="7"/>
  <c r="I89" i="7"/>
  <c r="J89" i="7" s="1"/>
  <c r="J121" i="7" s="1"/>
  <c r="E91" i="7"/>
  <c r="D96" i="7"/>
  <c r="D122" i="7" s="1"/>
  <c r="E108" i="7"/>
  <c r="G96" i="7"/>
  <c r="G122" i="7" s="1"/>
  <c r="E112" i="7"/>
  <c r="E90" i="7"/>
  <c r="G89" i="7"/>
  <c r="C111" i="7"/>
  <c r="D93" i="7"/>
  <c r="E113" i="7"/>
  <c r="C96" i="7"/>
  <c r="D94" i="7"/>
  <c r="C107" i="7"/>
  <c r="C129" i="7" s="1"/>
  <c r="F122" i="7"/>
  <c r="I122" i="7" l="1"/>
  <c r="C121" i="7"/>
  <c r="F129" i="7"/>
  <c r="C122" i="7"/>
  <c r="E122" i="7"/>
  <c r="E121" i="7"/>
  <c r="C130" i="7"/>
  <c r="I121" i="7"/>
  <c r="F121" i="7"/>
  <c r="G121" i="7"/>
  <c r="C38" i="7"/>
  <c r="F130" i="7"/>
  <c r="D121" i="7"/>
  <c r="H123" i="7"/>
  <c r="J123" i="7"/>
  <c r="G123" i="7" l="1"/>
  <c r="C123" i="7"/>
  <c r="C131" i="7"/>
  <c r="C136" i="7"/>
  <c r="E136" i="7" s="1"/>
  <c r="C147" i="7" s="1"/>
  <c r="E123" i="7"/>
  <c r="F123" i="7"/>
  <c r="F131" i="7"/>
  <c r="I123" i="7"/>
  <c r="C135" i="7"/>
  <c r="D123" i="7"/>
  <c r="E147" i="7" l="1"/>
  <c r="G168" i="7" s="1"/>
  <c r="E135" i="7"/>
  <c r="C137" i="7"/>
  <c r="F168" i="7" l="1"/>
  <c r="C183" i="7"/>
  <c r="E184" i="7"/>
  <c r="I168" i="7"/>
  <c r="H168" i="7"/>
  <c r="C168" i="7"/>
  <c r="E170" i="7"/>
  <c r="E169" i="7"/>
  <c r="J168" i="7"/>
  <c r="E185" i="7"/>
  <c r="D168" i="7"/>
  <c r="E137" i="7"/>
  <c r="C146" i="7"/>
  <c r="E146" i="7" s="1"/>
  <c r="I161" i="7" s="1"/>
  <c r="G194" i="7"/>
  <c r="F194" i="7" l="1"/>
  <c r="I194" i="7"/>
  <c r="H194" i="7"/>
  <c r="C194" i="7"/>
  <c r="I193" i="7"/>
  <c r="J194" i="7"/>
  <c r="L194" i="7"/>
  <c r="K194" i="7"/>
  <c r="C148" i="7"/>
  <c r="E194" i="7"/>
  <c r="D194" i="7"/>
  <c r="F161" i="7"/>
  <c r="E162" i="7"/>
  <c r="C165" i="7"/>
  <c r="C179" i="7"/>
  <c r="J161" i="7"/>
  <c r="G161" i="7"/>
  <c r="E180" i="7"/>
  <c r="D166" i="7"/>
  <c r="D165" i="7"/>
  <c r="E163" i="7"/>
  <c r="C166" i="7"/>
  <c r="E181" i="7"/>
  <c r="H161" i="7"/>
  <c r="I195" i="7" l="1"/>
  <c r="F193" i="7"/>
  <c r="J193" i="7"/>
  <c r="G193" i="7"/>
  <c r="L193" i="7"/>
  <c r="C198" i="7"/>
  <c r="C209" i="7" s="1"/>
  <c r="D193" i="7"/>
  <c r="K193" i="7"/>
  <c r="C193" i="7"/>
  <c r="E193" i="7"/>
  <c r="H193" i="7"/>
  <c r="E195" i="7" l="1"/>
  <c r="D195" i="7"/>
  <c r="C195" i="7"/>
  <c r="F195" i="7"/>
  <c r="L195" i="7"/>
  <c r="J195" i="7"/>
  <c r="G195" i="7"/>
  <c r="C197" i="7"/>
  <c r="K195" i="7"/>
  <c r="H195" i="7"/>
  <c r="E209" i="7"/>
  <c r="C199" i="7" l="1"/>
  <c r="C208" i="7"/>
  <c r="E208" i="7" s="1"/>
  <c r="C210" i="7" l="1"/>
  <c r="E210" i="7" s="1"/>
</calcChain>
</file>

<file path=xl/comments1.xml><?xml version="1.0" encoding="utf-8"?>
<comments xmlns="http://schemas.openxmlformats.org/spreadsheetml/2006/main">
  <authors>
    <author>Fee, George</author>
  </authors>
  <commentList>
    <comment ref="D130" authorId="0">
      <text>
        <r>
          <rPr>
            <b/>
            <sz val="9"/>
            <color indexed="81"/>
            <rFont val="Tahoma"/>
            <family val="2"/>
          </rPr>
          <t>Fee, George:</t>
        </r>
        <r>
          <rPr>
            <sz val="9"/>
            <color indexed="81"/>
            <rFont val="Tahoma"/>
            <family val="2"/>
          </rPr>
          <t xml:space="preserve">
Provide by BPU at conclusion of annual BRA (Base Residual Auction)
</t>
        </r>
      </text>
    </comment>
    <comment ref="B138" authorId="0">
      <text>
        <r>
          <rPr>
            <b/>
            <sz val="9"/>
            <color indexed="81"/>
            <rFont val="Tahoma"/>
            <family val="2"/>
          </rPr>
          <t>Fee, George:</t>
        </r>
        <r>
          <rPr>
            <sz val="9"/>
            <color indexed="81"/>
            <rFont val="Tahoma"/>
            <family val="2"/>
          </rPr>
          <t xml:space="preserve">
Only use "No" if analyzing estimated markup percentages</t>
        </r>
      </text>
    </comment>
  </commentList>
</comments>
</file>

<file path=xl/sharedStrings.xml><?xml version="1.0" encoding="utf-8"?>
<sst xmlns="http://schemas.openxmlformats.org/spreadsheetml/2006/main" count="944" uniqueCount="390">
  <si>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</si>
  <si>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</si>
  <si>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</si>
  <si>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</si>
  <si>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</si>
  <si>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</si>
  <si>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</si>
  <si>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</si>
  <si>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</si>
  <si>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</si>
  <si>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</si>
  <si>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</si>
  <si>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</si>
  <si>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</si>
  <si>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</si>
  <si>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</si>
  <si>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</si>
  <si>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</si>
  <si>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</si>
  <si>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</si>
  <si>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</si>
  <si>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</si>
  <si>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</si>
  <si>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</si>
  <si>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</si>
  <si>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</si>
  <si>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</si>
  <si>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</si>
  <si>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</si>
  <si>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</si>
  <si>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</si>
  <si>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</si>
  <si>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</si>
  <si>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</si>
  <si>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</si>
  <si>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</si>
  <si>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</si>
  <si>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</si>
  <si>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</si>
  <si>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</si>
  <si>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</si>
  <si>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</si>
  <si>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</si>
  <si>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</si>
  <si>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</si>
  <si>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</si>
  <si>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</si>
  <si>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</si>
  <si>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</si>
  <si>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</si>
  <si>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</si>
  <si>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</si>
  <si>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</si>
  <si>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</si>
  <si>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</si>
  <si>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</si>
  <si>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</si>
  <si>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</si>
  <si>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</si>
  <si>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</si>
  <si>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</si>
  <si>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</si>
  <si>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</si>
  <si>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</si>
  <si>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</si>
  <si>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</si>
  <si>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</si>
  <si>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</si>
  <si>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</si>
  <si>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</si>
  <si>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</si>
  <si>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</si>
  <si>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</si>
  <si>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</si>
  <si>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</si>
  <si>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</si>
  <si>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</si>
  <si>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</si>
  <si>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</si>
  <si>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</si>
  <si>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</si>
  <si>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</si>
  <si>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</si>
  <si>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</si>
  <si>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</si>
  <si>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</si>
  <si>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</si>
  <si>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</si>
  <si>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</si>
  <si>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</si>
  <si>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</si>
  <si>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</si>
  <si>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</si>
  <si>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</si>
  <si>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</si>
  <si>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</si>
  <si>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</si>
  <si>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</si>
  <si>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</si>
  <si>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</si>
  <si>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</si>
  <si>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</si>
  <si>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</si>
  <si>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</si>
  <si>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</si>
  <si>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</si>
  <si>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</si>
  <si>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</si>
  <si>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</si>
  <si>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</si>
  <si>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</si>
  <si>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</si>
  <si>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</si>
  <si>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</si>
  <si>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</si>
  <si>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</si>
  <si>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</si>
  <si>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</si>
  <si>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</si>
  <si>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Including T&amp;G Obligation $</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</si>
  <si>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</si>
  <si>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</si>
  <si>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</si>
  <si>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</si>
  <si>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</si>
  <si>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</si>
  <si>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</si>
  <si>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</si>
  <si>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</si>
  <si>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</si>
  <si>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</si>
  <si>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</si>
  <si>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</si>
  <si>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</si>
  <si>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</si>
  <si>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</si>
  <si>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</si>
  <si>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</si>
  <si>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</si>
  <si>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</si>
  <si>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</si>
  <si>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</si>
  <si>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</si>
  <si>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</si>
  <si>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</si>
  <si>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</si>
  <si>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</si>
  <si>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</si>
  <si>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</si>
  <si>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</si>
  <si>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</si>
  <si>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</si>
  <si>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</si>
  <si>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</si>
  <si>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</si>
  <si>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</si>
  <si>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</si>
  <si>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</si>
  <si>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</si>
  <si>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</si>
  <si>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</si>
  <si>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</si>
  <si>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</si>
  <si>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</si>
  <si>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</si>
  <si>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</si>
  <si>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</si>
  <si>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</si>
  <si>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</si>
  <si>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</si>
  <si>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</si>
  <si>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</si>
  <si>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</si>
  <si>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</si>
  <si>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</si>
  <si>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</si>
  <si>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</si>
  <si>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</si>
  <si>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</si>
  <si>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</si>
  <si>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</si>
  <si>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</si>
  <si>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</si>
  <si>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</si>
  <si>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</si>
  <si>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</si>
  <si>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</si>
  <si>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</si>
  <si>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</si>
  <si>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</si>
  <si>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</si>
  <si>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</si>
  <si>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</si>
  <si>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</si>
  <si>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</si>
  <si>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</si>
  <si>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</si>
  <si>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</si>
  <si>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</si>
  <si>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</si>
  <si>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</si>
  <si>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</si>
  <si>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</si>
  <si>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</si>
  <si>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</si>
  <si>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</si>
  <si>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</si>
  <si>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</si>
  <si>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</si>
  <si>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</si>
  <si>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</si>
  <si>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</si>
  <si>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</si>
  <si>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</si>
  <si>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</si>
  <si>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</si>
  <si>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</si>
  <si>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</si>
  <si>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</si>
  <si>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</si>
  <si>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</si>
  <si>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</si>
  <si>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</si>
  <si>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</si>
  <si>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</si>
  <si>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</si>
  <si>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</si>
  <si>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</si>
  <si>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</si>
  <si>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</si>
  <si>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</si>
  <si>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</si>
  <si>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</si>
  <si>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</si>
  <si>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</si>
  <si>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</si>
  <si>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</si>
  <si>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</si>
  <si>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</si>
  <si>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</si>
  <si>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</si>
  <si>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</si>
  <si>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</si>
  <si>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</si>
  <si>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</si>
  <si>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</si>
  <si>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</si>
  <si>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</si>
  <si>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</si>
  <si>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</si>
  <si>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</si>
  <si>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</si>
  <si>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</si>
  <si>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</si>
  <si>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</si>
  <si>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</si>
  <si>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</si>
  <si>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</si>
  <si>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</si>
  <si>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</si>
  <si>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</si>
  <si>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</si>
  <si>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</si>
  <si>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</si>
  <si>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</si>
  <si>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</si>
  <si>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</si>
  <si>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</si>
  <si>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</si>
  <si>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</si>
  <si>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</si>
  <si>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</si>
  <si>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</si>
  <si>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</si>
  <si>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</si>
  <si>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</si>
  <si>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</si>
  <si>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</si>
  <si>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</si>
  <si>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</si>
  <si>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</si>
  <si>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</si>
  <si>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</si>
  <si>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</si>
  <si>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</si>
  <si>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(based on W/N actuals used in settlement and final rate design of 2009 Rate Case, rounded to .1%)</t>
  </si>
  <si>
    <t>June - September (0-600)</t>
  </si>
  <si>
    <t>June - September (600+)</t>
  </si>
  <si>
    <t>Total Summer Usage</t>
  </si>
  <si>
    <t>Blocking Percentages based on Annualized W/N Usaeg Used in 2009 Electric Rate Case Settlement</t>
  </si>
  <si>
    <t>NITS Rate Weighted Average Calculation</t>
  </si>
  <si>
    <t>NITS Rate</t>
  </si>
  <si>
    <t>Tranches</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</si>
  <si>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</si>
  <si>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</si>
  <si>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</si>
  <si>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</si>
  <si>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</si>
  <si>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</si>
  <si>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</si>
  <si>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</si>
  <si>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</si>
  <si>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Tariff (Result of 2000 Loss Study)</t>
  </si>
  <si>
    <t>PJM</t>
  </si>
  <si>
    <t>NERA</t>
  </si>
  <si>
    <t>Marginal Loss Deration Factor</t>
  </si>
  <si>
    <t>Marginal Loss Factor</t>
  </si>
  <si>
    <t>LPL-S &gt; 500 kW PLS</t>
  </si>
  <si>
    <t>&lt; 500 kW</t>
  </si>
  <si>
    <t>&gt; 500 kW</t>
  </si>
  <si>
    <t>Generation Peak Load Share</t>
  </si>
  <si>
    <t># of Tranches for Bid</t>
  </si>
  <si>
    <t>Total # of Tranches</t>
  </si>
  <si>
    <t>Incremental RPM Cost - in $/MWh</t>
  </si>
  <si>
    <t>Total - in $/MWh</t>
  </si>
  <si>
    <t>= line 1 + line 2</t>
  </si>
  <si>
    <t>Base
Capacity</t>
  </si>
  <si>
    <t>Incremental RPM Capacity</t>
  </si>
  <si>
    <t>Total Capacity</t>
  </si>
  <si>
    <t>BGS - CIEP BRA Clearing Price ($ per MW/Day)</t>
  </si>
  <si>
    <t>Annual Obligation Clearing Price</t>
  </si>
  <si>
    <t>Bill Impacts</t>
  </si>
  <si>
    <t>auction results and rates</t>
  </si>
  <si>
    <t>I</t>
  </si>
  <si>
    <t>Illustrative Purposes Only</t>
  </si>
  <si>
    <t xml:space="preserve"> NITS Rate</t>
  </si>
  <si>
    <t xml:space="preserve">Congestion Factors &amp; On/Off Peak Ratios </t>
  </si>
  <si>
    <t>Line Designation</t>
  </si>
  <si>
    <t>Incremental RPM cost $/MWh</t>
  </si>
  <si>
    <t>2016 Auction</t>
  </si>
  <si>
    <t>A</t>
  </si>
  <si>
    <t>Incremental Capacity Cost</t>
  </si>
  <si>
    <t>B</t>
  </si>
  <si>
    <t>Total Generation Obligation</t>
  </si>
  <si>
    <t>C</t>
  </si>
  <si>
    <t>Days in Year</t>
  </si>
  <si>
    <t>D = A * B * C</t>
  </si>
  <si>
    <t>Total Incremental Cost</t>
  </si>
  <si>
    <t>E</t>
  </si>
  <si>
    <t>Eligible Tranches</t>
  </si>
  <si>
    <t>F</t>
  </si>
  <si>
    <t xml:space="preserve">Total Inc. Adder Tranches </t>
  </si>
  <si>
    <t>G = E / F</t>
  </si>
  <si>
    <t>Eligibility %</t>
  </si>
  <si>
    <t>H = D * G</t>
  </si>
  <si>
    <t>Allocated Period Cost</t>
  </si>
  <si>
    <t>Total Tranches</t>
  </si>
  <si>
    <t>J</t>
  </si>
  <si>
    <t>Total MWhs</t>
  </si>
  <si>
    <t>K = E / I * J</t>
  </si>
  <si>
    <t>Allocated MWhs</t>
  </si>
  <si>
    <t>L = H / K</t>
  </si>
  <si>
    <t xml:space="preserve">Incremental RPM Cost </t>
  </si>
  <si>
    <t>1A</t>
  </si>
  <si>
    <t>= (1) * (2)/(3) * (4) * (6) + (1A) * (2)/(3) * (6)</t>
  </si>
  <si>
    <t>= (1) * (2)/(3) * (5) * (7) + (1A) * (2)/(3) * (7)</t>
  </si>
  <si>
    <t>Yes</t>
  </si>
  <si>
    <t>On-Peak periods as defined in specified rate schedule (average of %s for 2013, 2014 &amp; 2015)</t>
  </si>
  <si>
    <t>Ancillary Services &amp; Renewable Power Cost</t>
  </si>
  <si>
    <t xml:space="preserve">Ancillary Services </t>
  </si>
  <si>
    <t>Renewable Power Cost</t>
  </si>
  <si>
    <t>Total AncillaryServices &amp; Renewable Power Costs</t>
  </si>
  <si>
    <t>Basis</t>
  </si>
  <si>
    <t>2017 Auction</t>
  </si>
  <si>
    <t>remaining portion of 36 month bid - 2016 auction</t>
  </si>
  <si>
    <t>Ancillary Services &amp; RPS =</t>
  </si>
  <si>
    <t>NJ SUT (Sales &amp; Use Tax) =</t>
  </si>
  <si>
    <t>SUT excluded from all rates</t>
  </si>
  <si>
    <t>NJ Sales &amp; Use Tax (SUT) excluded</t>
  </si>
  <si>
    <t>Use Estimated amount in cell e136</t>
  </si>
  <si>
    <t>Based on average of year 2014,2015 &amp; 2016 Load Profile Information</t>
  </si>
  <si>
    <t>36 month bid - 2018 auction</t>
  </si>
  <si>
    <t>remaining portion of 36 month bid - 2017 auction</t>
  </si>
  <si>
    <t>2018 Auction</t>
  </si>
  <si>
    <r>
      <t xml:space="preserve">Winning Bid - </t>
    </r>
    <r>
      <rPr>
        <sz val="10"/>
        <color rgb="FFFF0000"/>
        <rFont val="Arial"/>
        <family val="2"/>
      </rPr>
      <t>2018 Illustrative Purposes Only</t>
    </r>
  </si>
  <si>
    <t>36 month bid - 2018 Auction</t>
  </si>
  <si>
    <t>Calculation of June 2018 to May 2019 BGS-RSCP Rates</t>
  </si>
  <si>
    <t>NYMEX Forwards (October 25, 2017) from NERA</t>
  </si>
  <si>
    <t xml:space="preserve">  Summer Averages for Aug 2014-Jul 2017</t>
  </si>
  <si>
    <t xml:space="preserve">  Winter Averages for Oct 2014-May 2017</t>
  </si>
  <si>
    <t>PJM June 1, 2017 (through May 31, 2018) Forecast Pool Requirement</t>
  </si>
  <si>
    <t>obligations - Peak Load shares eff 6/1/17, scaling factors eff 6/1/17, Transmission Loads eff 1/1/17; costs are market estimates</t>
  </si>
  <si>
    <t>On-Peak periods as defined in specified rate schedule (average of %s for 2014, 2015 &amp; 2016)</t>
  </si>
  <si>
    <t>No adder required as data known prior to Feb. 2017 auction</t>
  </si>
  <si>
    <t>No adder required as data known prior to Feb. 2018 auction</t>
  </si>
  <si>
    <t xml:space="preserve"> forecasted 2017 energy use by class, PJM and PSE&amp;G on/off % from 2014, 2015 &amp; 2016 class load profiles</t>
  </si>
  <si>
    <t>The Incremental RPM Cost is not applicable for tranches from the 2016, 2017, or 2018 BGS-RSCP Auctions</t>
  </si>
  <si>
    <t>No adder required as data known prior to Feb. 2016 auction</t>
  </si>
  <si>
    <t>calendar month sales forecasted for 2018, less % for LPL-Sec &gt; 500 kW Peak Load Share</t>
  </si>
  <si>
    <t>Development of BGS-RSCP Cost and Bid Factors for 2018/2019 BGS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</si>
</sst>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u/>
      <sz val="12"/>
      <color indexed="12"/>
      <name val="Arial"/>
      <family val="2"/>
    </font>
    <font>
      <sz val="9"/>
      <name val="Arial"/>
      <family val="2"/>
    </font>
    <font>
      <b/>
      <sz val="12"/>
      <color indexed="8"/>
      <name val="Arial"/>
      <family val="2"/>
    </font>
    <font>
      <sz val="10"/>
      <name val="Times New Roman"/>
      <family val="1"/>
    </font>
    <font>
      <b/>
      <sz val="9"/>
      <color indexed="81"/>
      <name val="Tahoma"/>
      <family val="2"/>
    </font>
    <font>
      <sz val="9"/>
      <color indexed="81"/>
      <name val="Tahoma"/>
      <family val="2"/>
    </font>
    <font>
      <b/>
      <sz val="8"/>
      <name val="Arial"/>
      <family val="2"/>
    </font>
    <font>
      <sz val="10"/>
      <color rgb="FFFF0000"/>
      <name val="Arial"/>
      <family val="2"/>
    </font>
    <font>
      <u val="singleAccounting"/>
      <sz val="10"/>
      <color theme="1"/>
      <name val="Arial"/>
      <family val="2"/>
    </font>
    <font>
      <sz val="10"/>
      <color indexed="39"/>
      <name val="Arial"/>
      <family val="2"/>
    </font>
    <font>
      <b/>
      <sz val="16"/>
      <color indexed="23"/>
      <name val="Arial"/>
      <family val="2"/>
    </font>
    <font>
      <sz val="14"/>
      <color rgb="FFFF0000"/>
      <name val="Arial"/>
      <family val="2"/>
    </font>
    <font>
      <i/>
      <sz val="10"/>
      <color rgb="FFFF0000"/>
      <name val="Arial"/>
      <family val="2"/>
    </font>
    <font>
      <i/>
      <sz val="8"/>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4"/>
      </top>
      <bottom style="thin">
        <color indexed="63"/>
      </bottom>
      <diagonal/>
    </border>
  </borders>
  <cellStyleXfs count="157">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27" borderId="8" applyNumberFormat="0" applyProtection="0">
      <alignment vertical="center"/>
    </xf>
    <xf numFmtId="0" fontId="19" fillId="0" borderId="9" applyNumberFormat="0" applyFont="0" applyFill="0" applyAlignment="0" applyProtection="0"/>
    <xf numFmtId="0" fontId="48" fillId="0" borderId="0" applyNumberFormat="0" applyFill="0" applyBorder="0" applyAlignment="0" applyProtection="0">
      <alignment vertical="top"/>
      <protection locked="0"/>
    </xf>
    <xf numFmtId="0" fontId="47"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7" fillId="0" borderId="0"/>
    <xf numFmtId="0" fontId="47" fillId="0" borderId="0"/>
    <xf numFmtId="0" fontId="3" fillId="0" borderId="0"/>
    <xf numFmtId="0" fontId="2" fillId="0" borderId="0"/>
    <xf numFmtId="4" fontId="57" fillId="27" borderId="8" applyNumberFormat="0" applyProtection="0">
      <alignment vertical="center"/>
    </xf>
    <xf numFmtId="4" fontId="26" fillId="27" borderId="8" applyNumberFormat="0" applyProtection="0">
      <alignment horizontal="left" vertical="center" indent="1"/>
    </xf>
    <xf numFmtId="4" fontId="26" fillId="27" borderId="8" applyNumberFormat="0" applyProtection="0">
      <alignment horizontal="left" vertical="center" indent="1"/>
    </xf>
    <xf numFmtId="0" fontId="5" fillId="30" borderId="8" applyNumberFormat="0" applyProtection="0">
      <alignment horizontal="left" vertical="center" indent="1"/>
    </xf>
    <xf numFmtId="4" fontId="26" fillId="31" borderId="8" applyNumberFormat="0" applyProtection="0">
      <alignment horizontal="right" vertical="center"/>
    </xf>
    <xf numFmtId="4" fontId="26" fillId="32" borderId="8" applyNumberFormat="0" applyProtection="0">
      <alignment horizontal="right" vertical="center"/>
    </xf>
    <xf numFmtId="4" fontId="26" fillId="33" borderId="8" applyNumberFormat="0" applyProtection="0">
      <alignment horizontal="right" vertical="center"/>
    </xf>
    <xf numFmtId="4" fontId="26" fillId="34" borderId="8" applyNumberFormat="0" applyProtection="0">
      <alignment horizontal="right" vertical="center"/>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26" fillId="38" borderId="8" applyNumberFormat="0" applyProtection="0">
      <alignment horizontal="right" vertical="center"/>
    </xf>
    <xf numFmtId="4" fontId="26" fillId="39" borderId="8" applyNumberFormat="0" applyProtection="0">
      <alignment horizontal="right" vertical="center"/>
    </xf>
    <xf numFmtId="4" fontId="40" fillId="40" borderId="8" applyNumberFormat="0" applyProtection="0">
      <alignment horizontal="left" vertical="center" indent="1"/>
    </xf>
    <xf numFmtId="4" fontId="26" fillId="41" borderId="26" applyNumberFormat="0" applyProtection="0">
      <alignment horizontal="left" vertical="center" indent="1"/>
    </xf>
    <xf numFmtId="4" fontId="50" fillId="42" borderId="0" applyNumberFormat="0" applyProtection="0">
      <alignment horizontal="left" vertical="center" indent="1"/>
    </xf>
    <xf numFmtId="0" fontId="5" fillId="30" borderId="8" applyNumberFormat="0" applyProtection="0">
      <alignment horizontal="left" vertical="center" indent="1"/>
    </xf>
    <xf numFmtId="4" fontId="26" fillId="41" borderId="8" applyNumberFormat="0" applyProtection="0">
      <alignment horizontal="left" vertical="center" indent="1"/>
    </xf>
    <xf numFmtId="4" fontId="26"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25" borderId="8" applyNumberFormat="0" applyProtection="0">
      <alignment horizontal="left" vertical="center" indent="1"/>
    </xf>
    <xf numFmtId="0" fontId="5" fillId="25"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4" fontId="26" fillId="44" borderId="8" applyNumberFormat="0" applyProtection="0">
      <alignment vertical="center"/>
    </xf>
    <xf numFmtId="4" fontId="57" fillId="44" borderId="8" applyNumberFormat="0" applyProtection="0">
      <alignment vertical="center"/>
    </xf>
    <xf numFmtId="4" fontId="26" fillId="44" borderId="8" applyNumberFormat="0" applyProtection="0">
      <alignment horizontal="left" vertical="center" indent="1"/>
    </xf>
    <xf numFmtId="4" fontId="26" fillId="44" borderId="8" applyNumberFormat="0" applyProtection="0">
      <alignment horizontal="left" vertical="center" indent="1"/>
    </xf>
    <xf numFmtId="4" fontId="26" fillId="41" borderId="8" applyNumberFormat="0" applyProtection="0">
      <alignment horizontal="right" vertical="center"/>
    </xf>
    <xf numFmtId="4" fontId="57" fillId="41" borderId="8" applyNumberFormat="0" applyProtection="0">
      <alignment horizontal="right" vertical="center"/>
    </xf>
    <xf numFmtId="0" fontId="5" fillId="30" borderId="8" applyNumberFormat="0" applyProtection="0">
      <alignment horizontal="left" vertical="center" indent="1"/>
    </xf>
    <xf numFmtId="0" fontId="5" fillId="30" borderId="8" applyNumberFormat="0" applyProtection="0">
      <alignment horizontal="left" vertical="center" indent="1"/>
    </xf>
    <xf numFmtId="0" fontId="58" fillId="0" borderId="0"/>
    <xf numFmtId="4" fontId="20" fillId="41"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7" fillId="0" borderId="0" applyFont="0" applyFill="0" applyBorder="0" applyAlignment="0" applyProtection="0"/>
  </cellStyleXfs>
  <cellXfs count="365">
    <xf numFmtId="0" fontId="0" fillId="0" borderId="0" xfId="0"/>
    <xf numFmtId="0" fontId="0" fillId="0" borderId="0" xfId="0" applyFill="1"/>
    <xf numFmtId="169" fontId="0" fillId="0" borderId="0" xfId="0" applyNumberFormat="1" applyFill="1"/>
    <xf numFmtId="44" fontId="6" fillId="0" borderId="0" xfId="33" quotePrefix="1" applyFont="1" applyFill="1"/>
    <xf numFmtId="0" fontId="0" fillId="0" borderId="0" xfId="0" applyFill="1" applyAlignment="1">
      <alignment horizontal="left"/>
    </xf>
    <xf numFmtId="0" fontId="11" fillId="0" borderId="0" xfId="0" applyFont="1" applyFill="1" applyAlignment="1">
      <alignment horizontal="left"/>
    </xf>
    <xf numFmtId="0" fontId="7" fillId="0" borderId="0" xfId="0" applyFont="1" applyFill="1"/>
    <xf numFmtId="0" fontId="9" fillId="0" borderId="0" xfId="0" applyFont="1" applyFill="1"/>
    <xf numFmtId="0" fontId="12" fillId="0" borderId="0" xfId="0" applyFont="1" applyFill="1" applyAlignment="1">
      <alignment horizontal="left"/>
    </xf>
    <xf numFmtId="0" fontId="7" fillId="0" borderId="0" xfId="0" quotePrefix="1" applyFont="1" applyFill="1" applyBorder="1"/>
    <xf numFmtId="39" fontId="6" fillId="0" borderId="0" xfId="0" quotePrefix="1" applyNumberFormat="1" applyFont="1" applyFill="1"/>
    <xf numFmtId="0" fontId="6" fillId="0" borderId="0" xfId="0" applyFont="1" applyFill="1"/>
    <xf numFmtId="0" fontId="9" fillId="0" borderId="0" xfId="0" applyFont="1" applyFill="1" applyAlignment="1">
      <alignment horizontal="left"/>
    </xf>
    <xf numFmtId="0" fontId="9" fillId="0" borderId="0" xfId="0" applyFont="1" applyFill="1" applyAlignment="1">
      <alignment horizontal="center" wrapText="1"/>
    </xf>
    <xf numFmtId="0" fontId="6" fillId="0" borderId="0" xfId="0" applyFont="1" applyFill="1" applyAlignment="1">
      <alignment wrapText="1"/>
    </xf>
    <xf numFmtId="0" fontId="9" fillId="0" borderId="0" xfId="0" quotePrefix="1" applyFont="1" applyFill="1"/>
    <xf numFmtId="0" fontId="14"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17" fontId="0" fillId="0" borderId="0" xfId="0" applyNumberFormat="1" applyFill="1"/>
    <xf numFmtId="173" fontId="8" fillId="0" borderId="0" xfId="57" quotePrefix="1" applyNumberFormat="1" applyFont="1" applyFill="1"/>
    <xf numFmtId="9" fontId="8" fillId="0" borderId="0" xfId="57" quotePrefix="1" applyFont="1" applyFill="1"/>
    <xf numFmtId="9" fontId="6" fillId="0" borderId="0" xfId="57" quotePrefix="1" applyFont="1" applyFill="1"/>
    <xf numFmtId="9" fontId="8" fillId="0" borderId="0" xfId="57" applyNumberFormat="1" applyFont="1" applyFill="1"/>
    <xf numFmtId="9" fontId="8" fillId="0" borderId="0" xfId="57" quotePrefix="1" applyFont="1" applyFill="1" applyAlignment="1">
      <alignment horizontal="center"/>
    </xf>
    <xf numFmtId="17" fontId="7" fillId="0" borderId="0" xfId="0" applyNumberFormat="1" applyFont="1" applyFill="1"/>
    <xf numFmtId="17" fontId="9" fillId="0" borderId="0" xfId="0" applyNumberFormat="1" applyFont="1" applyFill="1"/>
    <xf numFmtId="3" fontId="8" fillId="0" borderId="0" xfId="0" applyNumberFormat="1" applyFont="1" applyFill="1"/>
    <xf numFmtId="0" fontId="0" fillId="0" borderId="0" xfId="0" applyFill="1" applyAlignment="1">
      <alignment horizontal="right"/>
    </xf>
    <xf numFmtId="3" fontId="0" fillId="0" borderId="0" xfId="0" quotePrefix="1" applyNumberFormat="1" applyFill="1"/>
    <xf numFmtId="3" fontId="0" fillId="0" borderId="0" xfId="0" applyNumberFormat="1" applyFill="1"/>
    <xf numFmtId="17" fontId="0" fillId="0" borderId="0" xfId="0" applyNumberFormat="1" applyFill="1" applyAlignment="1">
      <alignment horizontal="center"/>
    </xf>
    <xf numFmtId="0" fontId="12" fillId="0" borderId="0" xfId="0" applyFont="1" applyFill="1" applyAlignment="1">
      <alignment horizontal="center"/>
    </xf>
    <xf numFmtId="0" fontId="0" fillId="0" borderId="0" xfId="0" applyFill="1" applyAlignment="1"/>
    <xf numFmtId="4" fontId="8" fillId="0" borderId="0" xfId="0" applyNumberFormat="1" applyFont="1" applyFill="1"/>
    <xf numFmtId="9" fontId="8" fillId="0" borderId="0" xfId="57" applyFont="1" applyFill="1"/>
    <xf numFmtId="0" fontId="0" fillId="0" borderId="0" xfId="0" applyFill="1" applyAlignment="1">
      <alignment horizontal="center"/>
    </xf>
    <xf numFmtId="167" fontId="8" fillId="0" borderId="0" xfId="0" applyNumberFormat="1" applyFont="1" applyFill="1"/>
    <xf numFmtId="165" fontId="0" fillId="0" borderId="0" xfId="0" applyNumberFormat="1" applyFill="1"/>
    <xf numFmtId="17" fontId="0" fillId="0" borderId="0" xfId="0" applyNumberFormat="1" applyFill="1" applyAlignment="1">
      <alignment horizontal="right"/>
    </xf>
    <xf numFmtId="44" fontId="0" fillId="0" borderId="0" xfId="33" applyFont="1" applyFill="1"/>
    <xf numFmtId="44" fontId="6" fillId="0" borderId="0" xfId="33" applyFont="1" applyFill="1"/>
    <xf numFmtId="44" fontId="6" fillId="0" borderId="0" xfId="33" quotePrefix="1" applyNumberFormat="1" applyFont="1" applyFill="1"/>
    <xf numFmtId="169" fontId="6" fillId="0" borderId="0" xfId="33" quotePrefix="1" applyNumberFormat="1" applyFont="1" applyFill="1"/>
    <xf numFmtId="169" fontId="6" fillId="0" borderId="0" xfId="33" applyNumberFormat="1" applyFont="1" applyFill="1"/>
    <xf numFmtId="39" fontId="0" fillId="0" borderId="0" xfId="0" applyNumberFormat="1" applyFill="1"/>
    <xf numFmtId="173" fontId="7" fillId="0" borderId="0" xfId="0" applyNumberFormat="1" applyFont="1" applyFill="1" applyAlignment="1">
      <alignment horizontal="center"/>
    </xf>
    <xf numFmtId="169" fontId="0" fillId="0" borderId="0" xfId="33" applyNumberFormat="1" applyFont="1" applyFill="1"/>
    <xf numFmtId="169" fontId="16" fillId="0" borderId="0" xfId="33" applyNumberFormat="1" applyFont="1" applyFill="1"/>
    <xf numFmtId="168" fontId="8" fillId="0" borderId="0" xfId="0" applyNumberFormat="1" applyFont="1" applyFill="1"/>
    <xf numFmtId="168" fontId="0" fillId="0" borderId="0" xfId="0" applyNumberFormat="1" applyFill="1"/>
    <xf numFmtId="0" fontId="0" fillId="0" borderId="0" xfId="0" quotePrefix="1" applyFill="1" applyAlignment="1">
      <alignment horizontal="right"/>
    </xf>
    <xf numFmtId="169" fontId="8" fillId="0" borderId="0" xfId="33" applyNumberFormat="1" applyFont="1" applyFill="1"/>
    <xf numFmtId="0" fontId="0" fillId="0" borderId="0" xfId="0" quotePrefix="1" applyFill="1"/>
    <xf numFmtId="44" fontId="0" fillId="0" borderId="0" xfId="33" quotePrefix="1" applyFont="1" applyFill="1"/>
    <xf numFmtId="44" fontId="0" fillId="0" borderId="0" xfId="33" applyFont="1" applyFill="1" applyAlignment="1">
      <alignment horizontal="center"/>
    </xf>
    <xf numFmtId="0" fontId="13" fillId="0" borderId="0" xfId="0" applyFont="1" applyFill="1" applyAlignment="1">
      <alignment horizontal="left"/>
    </xf>
    <xf numFmtId="17" fontId="13" fillId="0" borderId="0" xfId="0" applyNumberFormat="1" applyFont="1" applyFill="1" applyAlignment="1">
      <alignment horizontal="left"/>
    </xf>
    <xf numFmtId="172" fontId="0" fillId="0" borderId="0" xfId="0" applyNumberFormat="1" applyFill="1"/>
    <xf numFmtId="43" fontId="6" fillId="0" borderId="0" xfId="28" quotePrefix="1" applyNumberFormat="1" applyFont="1" applyFill="1" applyBorder="1"/>
    <xf numFmtId="43" fontId="7" fillId="0" borderId="0" xfId="28" quotePrefix="1" applyNumberFormat="1" applyFont="1" applyFill="1" applyBorder="1"/>
    <xf numFmtId="43" fontId="6" fillId="0" borderId="0" xfId="28" quotePrefix="1" applyFont="1" applyFill="1"/>
    <xf numFmtId="43" fontId="6" fillId="0" borderId="0" xfId="28" applyNumberFormat="1" applyFont="1" applyFill="1" applyBorder="1" applyAlignment="1">
      <alignment horizontal="right"/>
    </xf>
    <xf numFmtId="0" fontId="7" fillId="0" borderId="0" xfId="0" applyFont="1" applyFill="1" applyAlignment="1">
      <alignment horizontal="right"/>
    </xf>
    <xf numFmtId="43" fontId="6" fillId="0" borderId="0" xfId="28" quotePrefix="1" applyNumberFormat="1" applyFont="1" applyFill="1"/>
    <xf numFmtId="174" fontId="0" fillId="0" borderId="0" xfId="28" applyNumberFormat="1" applyFont="1" applyFill="1"/>
    <xf numFmtId="44" fontId="6" fillId="0" borderId="0" xfId="0" applyNumberFormat="1" applyFont="1" applyFill="1"/>
    <xf numFmtId="9" fontId="0" fillId="0" borderId="0" xfId="57" applyFont="1" applyFill="1"/>
    <xf numFmtId="169" fontId="0" fillId="0" borderId="0" xfId="57" applyNumberFormat="1" applyFont="1" applyFill="1"/>
    <xf numFmtId="169" fontId="0" fillId="0" borderId="0" xfId="33" quotePrefix="1" applyNumberFormat="1" applyFont="1" applyFill="1"/>
    <xf numFmtId="0" fontId="7" fillId="0" borderId="0" xfId="0" applyFont="1" applyFill="1" applyAlignment="1">
      <alignment horizontal="center" wrapText="1"/>
    </xf>
    <xf numFmtId="176" fontId="6" fillId="0" borderId="0" xfId="28" quotePrefix="1" applyNumberFormat="1" applyFont="1" applyFill="1"/>
    <xf numFmtId="175" fontId="7" fillId="0" borderId="0" xfId="28" quotePrefix="1" applyNumberFormat="1" applyFont="1" applyFill="1" applyBorder="1"/>
    <xf numFmtId="175" fontId="6" fillId="0" borderId="0" xfId="28" quotePrefix="1" applyNumberFormat="1" applyFont="1" applyFill="1" applyBorder="1"/>
    <xf numFmtId="175" fontId="0" fillId="0" borderId="0" xfId="0" applyNumberFormat="1" applyFill="1"/>
    <xf numFmtId="175" fontId="7" fillId="0" borderId="0" xfId="0" applyNumberFormat="1" applyFont="1" applyFill="1"/>
    <xf numFmtId="175" fontId="6" fillId="0" borderId="0" xfId="28" quotePrefix="1" applyNumberFormat="1" applyFont="1" applyFill="1"/>
    <xf numFmtId="0" fontId="9" fillId="0" borderId="0" xfId="0" applyFont="1" applyFill="1" applyAlignment="1">
      <alignment horizontal="right"/>
    </xf>
    <xf numFmtId="177" fontId="6" fillId="0" borderId="0" xfId="0" applyNumberFormat="1" applyFont="1" applyFill="1"/>
    <xf numFmtId="168" fontId="6" fillId="0" borderId="0" xfId="0" applyNumberFormat="1" applyFont="1" applyFill="1"/>
    <xf numFmtId="168" fontId="6" fillId="0" borderId="0" xfId="0" applyNumberFormat="1" applyFont="1" applyFill="1" applyAlignment="1">
      <alignment horizontal="right"/>
    </xf>
    <xf numFmtId="44" fontId="8" fillId="0" borderId="0" xfId="33" applyFont="1" applyFill="1"/>
    <xf numFmtId="0" fontId="6" fillId="0" borderId="0" xfId="0" quotePrefix="1" applyFont="1" applyFill="1" applyAlignment="1">
      <alignment horizontal="center"/>
    </xf>
    <xf numFmtId="168" fontId="6" fillId="0" borderId="0" xfId="0" quotePrefix="1" applyNumberFormat="1" applyFont="1" applyFill="1" applyAlignment="1">
      <alignment horizontal="center"/>
    </xf>
    <xf numFmtId="44" fontId="0" fillId="0" borderId="0" xfId="0" applyNumberFormat="1" applyFill="1"/>
    <xf numFmtId="0" fontId="6" fillId="0" borderId="0" xfId="0" applyFont="1" applyFill="1" applyAlignment="1">
      <alignment horizontal="right"/>
    </xf>
    <xf numFmtId="0" fontId="7" fillId="0" borderId="0" xfId="0" applyFont="1" applyFill="1" applyAlignment="1">
      <alignment horizontal="centerContinuous"/>
    </xf>
    <xf numFmtId="0" fontId="6" fillId="0" borderId="0" xfId="0" applyFont="1" applyFill="1" applyAlignment="1">
      <alignment horizontal="centerContinuous"/>
    </xf>
    <xf numFmtId="0" fontId="13" fillId="0" borderId="0" xfId="0" applyFont="1" applyFill="1" applyAlignment="1">
      <alignment horizontal="center"/>
    </xf>
    <xf numFmtId="166" fontId="8" fillId="0" borderId="0" xfId="0" applyNumberFormat="1" applyFont="1" applyFill="1"/>
    <xf numFmtId="0" fontId="6" fillId="0" borderId="0" xfId="0" applyFont="1" applyFill="1" applyAlignment="1">
      <alignment horizontal="left"/>
    </xf>
    <xf numFmtId="173" fontId="6" fillId="0" borderId="0" xfId="0" applyNumberFormat="1" applyFont="1" applyFill="1"/>
    <xf numFmtId="171" fontId="7" fillId="0" borderId="0" xfId="33" quotePrefix="1" applyNumberFormat="1" applyFont="1" applyFill="1" applyBorder="1"/>
    <xf numFmtId="3" fontId="0" fillId="0" borderId="0" xfId="0" applyNumberFormat="1" applyFill="1" applyAlignment="1"/>
    <xf numFmtId="9" fontId="0" fillId="0" borderId="0" xfId="57" applyFont="1" applyFill="1" applyAlignment="1"/>
    <xf numFmtId="9" fontId="0" fillId="0" borderId="0" xfId="0" applyNumberFormat="1" applyFill="1"/>
    <xf numFmtId="10" fontId="0" fillId="0" borderId="0" xfId="0" applyNumberFormat="1" applyFill="1"/>
    <xf numFmtId="0" fontId="7" fillId="0" borderId="0" xfId="0" applyFont="1" applyFill="1" applyAlignment="1">
      <alignment horizontal="left"/>
    </xf>
    <xf numFmtId="3" fontId="6" fillId="0" borderId="0" xfId="0" applyNumberFormat="1" applyFont="1" applyFill="1"/>
    <xf numFmtId="169" fontId="16" fillId="0" borderId="0" xfId="0" applyNumberFormat="1" applyFont="1" applyFill="1"/>
    <xf numFmtId="169" fontId="16" fillId="0" borderId="0" xfId="33" quotePrefix="1" applyNumberFormat="1" applyFont="1" applyFill="1"/>
    <xf numFmtId="172" fontId="7" fillId="0" borderId="0" xfId="33" quotePrefix="1" applyNumberFormat="1" applyFont="1" applyFill="1"/>
    <xf numFmtId="172" fontId="6" fillId="0" borderId="0" xfId="33" quotePrefix="1" applyNumberFormat="1" applyFont="1" applyFill="1"/>
    <xf numFmtId="164" fontId="0" fillId="0" borderId="0" xfId="0" applyNumberFormat="1" applyFill="1"/>
    <xf numFmtId="172" fontId="6" fillId="0" borderId="0" xfId="33" applyNumberFormat="1" applyFont="1" applyFill="1"/>
    <xf numFmtId="167" fontId="0" fillId="0" borderId="0" xfId="57" applyNumberFormat="1" applyFont="1" applyFill="1"/>
    <xf numFmtId="10" fontId="0" fillId="0" borderId="0" xfId="0" applyNumberFormat="1" applyFill="1" applyAlignment="1">
      <alignment horizontal="center"/>
    </xf>
    <xf numFmtId="168" fontId="7" fillId="0" borderId="0" xfId="0" applyNumberFormat="1" applyFont="1" applyFill="1"/>
    <xf numFmtId="43" fontId="0" fillId="0" borderId="0" xfId="0" applyNumberFormat="1" applyFill="1"/>
    <xf numFmtId="167" fontId="13" fillId="0" borderId="0" xfId="57" applyNumberFormat="1" applyFont="1" applyFill="1"/>
    <xf numFmtId="0" fontId="6" fillId="0" borderId="0" xfId="0" applyFont="1" applyFill="1" applyAlignment="1">
      <alignment horizontal="center"/>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applyAlignment="1">
      <alignment horizontal="center"/>
    </xf>
    <xf numFmtId="0" fontId="0" fillId="0" borderId="0" xfId="0" applyFill="1" applyBorder="1"/>
    <xf numFmtId="0" fontId="9" fillId="0" borderId="0" xfId="0" applyFont="1" applyFill="1" applyBorder="1"/>
    <xf numFmtId="166" fontId="6" fillId="0" borderId="0" xfId="0" applyNumberFormat="1" applyFont="1" applyFill="1"/>
    <xf numFmtId="0" fontId="9" fillId="0" borderId="0" xfId="0" applyFont="1" applyFill="1" applyAlignment="1"/>
    <xf numFmtId="170" fontId="0" fillId="0" borderId="0" xfId="0" applyNumberFormat="1" applyFill="1"/>
    <xf numFmtId="171" fontId="0" fillId="0" borderId="0" xfId="33" applyNumberFormat="1" applyFont="1" applyFill="1"/>
    <xf numFmtId="171" fontId="6" fillId="0" borderId="0" xfId="33" applyNumberFormat="1" applyFont="1" applyFill="1"/>
    <xf numFmtId="171" fontId="7" fillId="0" borderId="0" xfId="33" quotePrefix="1" applyNumberFormat="1" applyFont="1" applyFill="1"/>
    <xf numFmtId="0" fontId="12" fillId="0" borderId="0" xfId="0" applyFont="1" applyFill="1"/>
    <xf numFmtId="166" fontId="12" fillId="0" borderId="0" xfId="0" applyNumberFormat="1" applyFont="1" applyFill="1"/>
    <xf numFmtId="0" fontId="0" fillId="0" borderId="15" xfId="0" applyFill="1" applyBorder="1"/>
    <xf numFmtId="0" fontId="13" fillId="0" borderId="14" xfId="0" applyFont="1" applyFill="1" applyBorder="1" applyAlignment="1">
      <alignment horizontal="center"/>
    </xf>
    <xf numFmtId="0" fontId="0" fillId="0" borderId="16" xfId="0" applyFill="1" applyBorder="1"/>
    <xf numFmtId="0" fontId="0" fillId="0" borderId="17" xfId="0" applyFill="1" applyBorder="1"/>
    <xf numFmtId="0" fontId="0" fillId="0" borderId="18" xfId="0" applyFill="1" applyBorder="1"/>
    <xf numFmtId="43" fontId="9" fillId="0" borderId="0" xfId="28" applyFont="1" applyFill="1"/>
    <xf numFmtId="3" fontId="13" fillId="0" borderId="0" xfId="0" applyNumberFormat="1" applyFont="1" applyFill="1"/>
    <xf numFmtId="10" fontId="0" fillId="0" borderId="0" xfId="57" applyNumberFormat="1" applyFont="1" applyFill="1"/>
    <xf numFmtId="165" fontId="0" fillId="0" borderId="0" xfId="0" quotePrefix="1" applyNumberFormat="1" applyFill="1"/>
    <xf numFmtId="166" fontId="0" fillId="0" borderId="19" xfId="0" applyNumberFormat="1" applyFill="1" applyBorder="1"/>
    <xf numFmtId="166" fontId="0" fillId="0" borderId="20" xfId="0" applyNumberFormat="1" applyFill="1" applyBorder="1"/>
    <xf numFmtId="166" fontId="0" fillId="0" borderId="0" xfId="0" applyNumberFormat="1" applyFill="1"/>
    <xf numFmtId="9" fontId="6" fillId="0" borderId="0" xfId="57" applyNumberFormat="1" applyFont="1" applyFill="1"/>
    <xf numFmtId="9" fontId="0" fillId="0" borderId="19" xfId="57" applyNumberFormat="1" applyFont="1" applyFill="1" applyBorder="1"/>
    <xf numFmtId="9" fontId="0" fillId="0" borderId="20" xfId="57" applyNumberFormat="1" applyFont="1" applyFill="1" applyBorder="1"/>
    <xf numFmtId="173" fontId="0" fillId="0" borderId="0" xfId="0" applyNumberFormat="1" applyFill="1"/>
    <xf numFmtId="1" fontId="8" fillId="0" borderId="0" xfId="57" quotePrefix="1" applyNumberFormat="1" applyFont="1" applyFill="1"/>
    <xf numFmtId="167" fontId="6" fillId="0" borderId="0" xfId="0" applyNumberFormat="1" applyFont="1" applyFill="1"/>
    <xf numFmtId="180" fontId="7" fillId="0" borderId="0" xfId="33" quotePrefix="1" applyNumberFormat="1" applyFont="1" applyFill="1"/>
    <xf numFmtId="3" fontId="0" fillId="0" borderId="0" xfId="0" applyNumberFormat="1" applyFill="1" applyAlignment="1">
      <alignment horizontal="center"/>
    </xf>
    <xf numFmtId="3" fontId="0" fillId="0" borderId="17" xfId="0" applyNumberFormat="1" applyFill="1" applyBorder="1" applyAlignment="1">
      <alignment horizontal="center"/>
    </xf>
    <xf numFmtId="178" fontId="0" fillId="0" borderId="0" xfId="0" applyNumberFormat="1" applyFill="1"/>
    <xf numFmtId="178" fontId="0" fillId="0" borderId="17" xfId="0" applyNumberFormat="1" applyFill="1" applyBorder="1"/>
    <xf numFmtId="174" fontId="6" fillId="0" borderId="0" xfId="28" applyNumberFormat="1" applyFont="1" applyFill="1"/>
    <xf numFmtId="176" fontId="7" fillId="0" borderId="0" xfId="28" applyNumberFormat="1" applyFont="1" applyFill="1"/>
    <xf numFmtId="181" fontId="5" fillId="0" borderId="0" xfId="57" applyNumberFormat="1" applyFont="1" applyFill="1"/>
    <xf numFmtId="1" fontId="6" fillId="0" borderId="0" xfId="0" applyNumberFormat="1" applyFont="1" applyFill="1"/>
    <xf numFmtId="9" fontId="9" fillId="0" borderId="0" xfId="57" applyFont="1" applyFill="1"/>
    <xf numFmtId="0" fontId="8" fillId="0" borderId="0" xfId="0" applyFont="1" applyFill="1"/>
    <xf numFmtId="178" fontId="6" fillId="0" borderId="0" xfId="33" applyNumberFormat="1" applyFont="1" applyFill="1"/>
    <xf numFmtId="44" fontId="0" fillId="0" borderId="0" xfId="33" quotePrefix="1" applyFont="1" applyFill="1" applyAlignment="1">
      <alignment horizontal="right"/>
    </xf>
    <xf numFmtId="0" fontId="15" fillId="0" borderId="0" xfId="49" applyFill="1" applyAlignment="1" applyProtection="1"/>
    <xf numFmtId="0" fontId="10" fillId="0" borderId="0" xfId="0" applyFont="1" applyFill="1"/>
    <xf numFmtId="10" fontId="8" fillId="0" borderId="0" xfId="57" applyNumberFormat="1" applyFont="1" applyFill="1"/>
    <xf numFmtId="174" fontId="18" fillId="0" borderId="0" xfId="28" applyNumberFormat="1" applyFont="1" applyFill="1" applyAlignment="1">
      <alignment horizontal="center"/>
    </xf>
    <xf numFmtId="173" fontId="8" fillId="0" borderId="0" xfId="57" applyNumberFormat="1" applyFont="1" applyFill="1"/>
    <xf numFmtId="173" fontId="8" fillId="0" borderId="0" xfId="0" applyNumberFormat="1" applyFont="1" applyFill="1"/>
    <xf numFmtId="0" fontId="6" fillId="0" borderId="0" xfId="0" quotePrefix="1" applyFont="1" applyFill="1"/>
    <xf numFmtId="38" fontId="8" fillId="0" borderId="0" xfId="0" applyNumberFormat="1" applyFont="1" applyFill="1" applyAlignment="1">
      <alignment horizontal="right"/>
    </xf>
    <xf numFmtId="40" fontId="8" fillId="0" borderId="0" xfId="0" applyNumberFormat="1" applyFont="1" applyFill="1" applyAlignment="1">
      <alignment horizontal="right"/>
    </xf>
    <xf numFmtId="166" fontId="8" fillId="0" borderId="22" xfId="0" applyNumberFormat="1" applyFont="1" applyFill="1" applyBorder="1"/>
    <xf numFmtId="9" fontId="8" fillId="0" borderId="22" xfId="57" applyNumberFormat="1" applyFont="1" applyFill="1" applyBorder="1"/>
    <xf numFmtId="44" fontId="8" fillId="0" borderId="0" xfId="33" applyNumberFormat="1" applyFont="1" applyFill="1"/>
    <xf numFmtId="178" fontId="18" fillId="0" borderId="0" xfId="0" applyNumberFormat="1" applyFont="1" applyFill="1"/>
    <xf numFmtId="168" fontId="18" fillId="0" borderId="0" xfId="0" applyNumberFormat="1" applyFont="1" applyFill="1"/>
    <xf numFmtId="183" fontId="18" fillId="0" borderId="0" xfId="0" applyNumberFormat="1" applyFont="1" applyFill="1"/>
    <xf numFmtId="3" fontId="6" fillId="0" borderId="0" xfId="0" applyNumberFormat="1"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4" fontId="0" fillId="24" borderId="0" xfId="0" applyNumberFormat="1" applyFill="1" applyBorder="1" applyAlignment="1">
      <alignment wrapText="1"/>
    </xf>
    <xf numFmtId="168" fontId="7" fillId="24" borderId="0" xfId="0" applyNumberFormat="1" applyFont="1" applyFill="1" applyBorder="1"/>
    <xf numFmtId="168" fontId="0" fillId="24" borderId="0" xfId="0" applyNumberFormat="1" applyFill="1" applyBorder="1"/>
    <xf numFmtId="17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3" fontId="0" fillId="24" borderId="0" xfId="0" applyNumberFormat="1" applyFill="1" applyBorder="1" applyAlignment="1">
      <alignment horizontal="center"/>
    </xf>
    <xf numFmtId="169" fontId="8" fillId="24" borderId="0" xfId="33" applyNumberFormat="1" applyFont="1" applyFill="1" applyBorder="1"/>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3" fillId="24" borderId="0" xfId="0" applyFont="1" applyFill="1" applyBorder="1"/>
    <xf numFmtId="6" fontId="0" fillId="24" borderId="0" xfId="0" applyNumberFormat="1" applyFill="1" applyBorder="1"/>
    <xf numFmtId="8" fontId="0" fillId="24" borderId="0" xfId="0" applyNumberFormat="1" applyFill="1" applyBorder="1"/>
    <xf numFmtId="182" fontId="0" fillId="24" borderId="0" xfId="0" applyNumberFormat="1" applyFill="1" applyBorder="1"/>
    <xf numFmtId="44" fontId="8" fillId="24" borderId="23" xfId="33" applyNumberFormat="1" applyFont="1" applyFill="1" applyBorder="1"/>
    <xf numFmtId="0" fontId="0" fillId="24" borderId="23" xfId="0" quotePrefix="1" applyFill="1" applyBorder="1"/>
    <xf numFmtId="44" fontId="45" fillId="0" borderId="0" xfId="33" applyFont="1" applyFill="1"/>
    <xf numFmtId="0" fontId="5" fillId="0" borderId="0" xfId="0" quotePrefix="1" applyFont="1" applyFill="1"/>
    <xf numFmtId="178" fontId="5" fillId="0" borderId="0" xfId="33" applyNumberFormat="1" applyFont="1" applyFill="1" applyAlignment="1">
      <alignment horizontal="center" wrapText="1"/>
    </xf>
    <xf numFmtId="169" fontId="7" fillId="0" borderId="0" xfId="0" applyNumberFormat="1" applyFont="1" applyFill="1"/>
    <xf numFmtId="165" fontId="0" fillId="0" borderId="14" xfId="0" applyNumberFormat="1" applyFill="1" applyBorder="1"/>
    <xf numFmtId="0" fontId="12" fillId="24" borderId="0" xfId="0" applyFont="1" applyFill="1" applyBorder="1" applyAlignment="1">
      <alignment horizontal="left" wrapText="1"/>
    </xf>
    <xf numFmtId="44" fontId="5" fillId="0" borderId="0" xfId="33" applyNumberFormat="1" applyFont="1" applyFill="1"/>
    <xf numFmtId="167" fontId="5" fillId="0" borderId="0" xfId="0" applyNumberFormat="1" applyFont="1" applyFill="1"/>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applyBorder="1"/>
    <xf numFmtId="6" fontId="8" fillId="24" borderId="0" xfId="0" applyNumberFormat="1" applyFont="1" applyFill="1" applyBorder="1"/>
    <xf numFmtId="0" fontId="0" fillId="0" borderId="0" xfId="0" applyFill="1" applyAlignment="1">
      <alignment horizontal="center"/>
    </xf>
    <xf numFmtId="0" fontId="54" fillId="0" borderId="17" xfId="0" applyFont="1" applyFill="1" applyBorder="1" applyAlignment="1">
      <alignment horizontal="center"/>
    </xf>
    <xf numFmtId="0" fontId="54" fillId="0" borderId="0" xfId="0" applyFont="1" applyFill="1" applyAlignment="1">
      <alignment horizontal="center"/>
    </xf>
    <xf numFmtId="0" fontId="17" fillId="0" borderId="0" xfId="0" applyFont="1" applyFill="1"/>
    <xf numFmtId="0" fontId="54" fillId="0" borderId="0" xfId="0" applyFont="1" applyFill="1"/>
    <xf numFmtId="0" fontId="5" fillId="0" borderId="0" xfId="0" applyFont="1" applyFill="1" applyAlignment="1">
      <alignment horizontal="center"/>
    </xf>
    <xf numFmtId="169" fontId="45" fillId="0" borderId="0" xfId="33" applyNumberFormat="1" applyFont="1" applyFill="1"/>
    <xf numFmtId="0" fontId="45" fillId="0" borderId="0" xfId="0" applyFont="1" applyFill="1"/>
    <xf numFmtId="0" fontId="45" fillId="0" borderId="0" xfId="0" quotePrefix="1" applyFont="1" applyFill="1"/>
    <xf numFmtId="169" fontId="56" fillId="0" borderId="0" xfId="33" applyNumberFormat="1" applyFont="1" applyFill="1"/>
    <xf numFmtId="44" fontId="59" fillId="24" borderId="23" xfId="33" applyNumberFormat="1" applyFont="1" applyFill="1" applyBorder="1"/>
    <xf numFmtId="43" fontId="5" fillId="0" borderId="0" xfId="28" quotePrefix="1" applyFont="1" applyFill="1"/>
    <xf numFmtId="167" fontId="18" fillId="0" borderId="21" xfId="57" applyNumberFormat="1" applyFont="1" applyFill="1" applyBorder="1"/>
    <xf numFmtId="167" fontId="8" fillId="0" borderId="21" xfId="57" applyNumberFormat="1" applyFont="1" applyFill="1" applyBorder="1"/>
    <xf numFmtId="181" fontId="8" fillId="24" borderId="23" xfId="57" applyNumberFormat="1" applyFont="1" applyFill="1" applyBorder="1"/>
    <xf numFmtId="44" fontId="55" fillId="29" borderId="0" xfId="33" applyFont="1" applyFill="1"/>
    <xf numFmtId="0" fontId="0" fillId="0" borderId="0" xfId="0" applyFont="1" applyFill="1"/>
    <xf numFmtId="0" fontId="60" fillId="0" borderId="0" xfId="0" applyFont="1" applyFill="1"/>
    <xf numFmtId="0" fontId="61" fillId="0" borderId="0" xfId="0" applyFont="1" applyFill="1"/>
    <xf numFmtId="0" fontId="49" fillId="0" borderId="0" xfId="0" applyFont="1" applyFill="1"/>
    <xf numFmtId="0" fontId="51" fillId="24" borderId="23" xfId="85" applyFont="1" applyFill="1" applyBorder="1" applyAlignment="1">
      <alignment vertical="center"/>
    </xf>
    <xf numFmtId="166" fontId="8" fillId="24" borderId="23" xfId="0" applyNumberFormat="1" applyFont="1" applyFill="1" applyBorder="1"/>
    <xf numFmtId="9" fontId="8" fillId="24" borderId="23" xfId="57" applyNumberFormat="1" applyFont="1" applyFill="1" applyBorder="1"/>
    <xf numFmtId="0" fontId="8" fillId="24" borderId="23" xfId="0" applyFont="1" applyFill="1" applyBorder="1"/>
    <xf numFmtId="178" fontId="8" fillId="24" borderId="23" xfId="0" applyNumberFormat="1" applyFont="1" applyFill="1" applyBorder="1"/>
    <xf numFmtId="178" fontId="5" fillId="24" borderId="0" xfId="33" applyNumberFormat="1" applyFont="1" applyFill="1" applyAlignment="1">
      <alignment horizontal="center" wrapText="1"/>
    </xf>
    <xf numFmtId="0" fontId="0" fillId="24" borderId="23" xfId="0" applyFill="1" applyBorder="1" applyAlignment="1">
      <alignment horizontal="right"/>
    </xf>
    <xf numFmtId="0" fontId="5" fillId="24" borderId="23" xfId="0" applyFont="1" applyFill="1" applyBorder="1" applyAlignment="1">
      <alignment horizontal="right"/>
    </xf>
    <xf numFmtId="0" fontId="10" fillId="24" borderId="0" xfId="0" applyFont="1" applyFill="1"/>
    <xf numFmtId="10" fontId="8" fillId="24" borderId="23" xfId="57" applyNumberFormat="1" applyFont="1" applyFill="1" applyBorder="1"/>
    <xf numFmtId="10" fontId="8" fillId="24" borderId="23" xfId="57" quotePrefix="1" applyNumberFormat="1" applyFont="1" applyFill="1" applyBorder="1"/>
    <xf numFmtId="38" fontId="8" fillId="24" borderId="23" xfId="0" applyNumberFormat="1" applyFont="1" applyFill="1" applyBorder="1" applyAlignment="1">
      <alignment horizontal="right"/>
    </xf>
    <xf numFmtId="173" fontId="8" fillId="24" borderId="23" xfId="0" applyNumberFormat="1" applyFont="1" applyFill="1" applyBorder="1"/>
    <xf numFmtId="40" fontId="8" fillId="24" borderId="23" xfId="0" applyNumberFormat="1" applyFont="1" applyFill="1" applyBorder="1" applyAlignment="1">
      <alignment horizontal="right"/>
    </xf>
    <xf numFmtId="167" fontId="8" fillId="24" borderId="23" xfId="57" applyNumberFormat="1" applyFont="1" applyFill="1" applyBorder="1"/>
    <xf numFmtId="168" fontId="8" fillId="24" borderId="23" xfId="0" applyNumberFormat="1" applyFont="1" applyFill="1" applyBorder="1"/>
    <xf numFmtId="183" fontId="8" fillId="24" borderId="23" xfId="0" applyNumberFormat="1" applyFont="1" applyFill="1" applyBorder="1"/>
    <xf numFmtId="184" fontId="46" fillId="24" borderId="23" xfId="0" applyNumberFormat="1" applyFont="1" applyFill="1" applyBorder="1" applyAlignment="1">
      <alignment horizontal="left"/>
    </xf>
    <xf numFmtId="0" fontId="8" fillId="24" borderId="0" xfId="0" applyFont="1" applyFill="1" applyBorder="1"/>
    <xf numFmtId="178" fontId="8" fillId="24" borderId="0" xfId="0" applyNumberFormat="1" applyFont="1" applyFill="1" applyBorder="1"/>
    <xf numFmtId="0" fontId="0" fillId="24" borderId="0" xfId="0" applyFill="1"/>
    <xf numFmtId="0" fontId="0" fillId="24" borderId="23" xfId="0" applyFont="1" applyFill="1" applyBorder="1" applyAlignment="1">
      <alignment horizontal="center" wrapText="1"/>
    </xf>
    <xf numFmtId="44" fontId="8" fillId="24" borderId="23"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9" fontId="0" fillId="24" borderId="23" xfId="57" applyFont="1" applyFill="1" applyBorder="1"/>
    <xf numFmtId="166" fontId="8" fillId="24" borderId="23" xfId="33" applyNumberFormat="1" applyFont="1" applyFill="1" applyBorder="1"/>
    <xf numFmtId="0" fontId="0" fillId="24" borderId="23" xfId="0" applyFill="1" applyBorder="1" applyAlignment="1">
      <alignment horizontal="right"/>
    </xf>
    <xf numFmtId="0" fontId="5" fillId="24" borderId="23" xfId="0" applyFont="1" applyFill="1" applyBorder="1" applyAlignment="1">
      <alignment horizontal="right"/>
    </xf>
    <xf numFmtId="0" fontId="5" fillId="24" borderId="25" xfId="0" applyFont="1" applyFill="1" applyBorder="1" applyAlignment="1">
      <alignment horizontal="center"/>
    </xf>
    <xf numFmtId="0" fontId="5" fillId="24" borderId="24" xfId="0" applyFont="1" applyFill="1" applyBorder="1" applyAlignment="1">
      <alignment horizontal="center"/>
    </xf>
    <xf numFmtId="0" fontId="0" fillId="24" borderId="0" xfId="0" applyFill="1" applyBorder="1" applyAlignment="1">
      <alignment horizontal="center"/>
    </xf>
    <xf numFmtId="4" fontId="0" fillId="0" borderId="0" xfId="0" applyNumberFormat="1" applyFill="1" applyAlignment="1">
      <alignment horizontal="center" wrapText="1"/>
    </xf>
    <xf numFmtId="4" fontId="0" fillId="0" borderId="0" xfId="0" applyNumberFormat="1" applyAlignment="1">
      <alignment horizontal="center" wrapText="1"/>
    </xf>
    <xf numFmtId="0" fontId="54" fillId="28" borderId="22" xfId="0" applyFont="1" applyFill="1" applyBorder="1" applyAlignment="1">
      <alignment horizontal="center" vertical="center" wrapText="1"/>
    </xf>
    <xf numFmtId="0" fontId="54" fillId="28" borderId="19" xfId="0" applyFont="1" applyFill="1" applyBorder="1" applyAlignment="1">
      <alignment horizontal="center" vertical="center" wrapText="1"/>
    </xf>
    <xf numFmtId="0" fontId="54" fillId="28" borderId="20" xfId="0" applyFont="1" applyFill="1" applyBorder="1" applyAlignment="1">
      <alignment horizontal="center" vertical="center" wrapText="1"/>
    </xf>
  </cellXfs>
  <cellStyles count="1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Comma 3 2" xfId="75"/>
    <cellStyle name="Comma 4" xfId="31"/>
    <cellStyle name="Comma 4 2" xfId="99"/>
    <cellStyle name="Comma 5" xfId="71"/>
    <cellStyle name="Comma 5 2" xfId="74"/>
    <cellStyle name="Comma 5 3" xfId="146"/>
    <cellStyle name="Comma 6" xfId="83"/>
    <cellStyle name="Comma0" xfId="32"/>
    <cellStyle name="Currency" xfId="33" builtinId="4"/>
    <cellStyle name="Currency 2" xfId="34"/>
    <cellStyle name="Currency 2 2" xfId="35"/>
    <cellStyle name="Currency 2 2 2" xfId="100"/>
    <cellStyle name="Currency 2 3" xfId="76"/>
    <cellStyle name="Currency 3" xfId="36"/>
    <cellStyle name="Currency 3 2" xfId="67"/>
    <cellStyle name="Currency 4" xfId="37"/>
    <cellStyle name="Currency 4 2" xfId="101"/>
    <cellStyle name="Currency 5" xfId="69"/>
    <cellStyle name="Currency 5 2" xfId="72"/>
    <cellStyle name="Currency 5 3" xfId="147"/>
    <cellStyle name="Currency0" xfId="38"/>
    <cellStyle name="Date" xfId="39"/>
    <cellStyle name="Explanatory Text 2" xfId="40"/>
    <cellStyle name="Fixed" xfId="41"/>
    <cellStyle name="Good 2" xfId="42"/>
    <cellStyle name="Heading 1" xfId="43" builtinId="16" customBuiltin="1"/>
    <cellStyle name="Heading 1 2" xfId="44"/>
    <cellStyle name="Heading 1 3" xfId="87"/>
    <cellStyle name="Heading 2" xfId="45" builtinId="17" customBuiltin="1"/>
    <cellStyle name="Heading 2 2" xfId="46"/>
    <cellStyle name="Heading 2 3" xfId="88"/>
    <cellStyle name="Heading 3 2" xfId="47"/>
    <cellStyle name="Heading 4 2" xfId="48"/>
    <cellStyle name="Hyperlink" xfId="49" builtinId="8"/>
    <cellStyle name="Hyperlink 2" xfId="97"/>
    <cellStyle name="Input 2" xfId="50"/>
    <cellStyle name="Linked Cell 2" xfId="51"/>
    <cellStyle name="Neutral 2" xfId="52"/>
    <cellStyle name="Normal" xfId="0" builtinId="0"/>
    <cellStyle name="Normal 2" xfId="53"/>
    <cellStyle name="Normal 2 2" xfId="77"/>
    <cellStyle name="Normal 2 2 2" xfId="89"/>
    <cellStyle name="Normal 2 2 2 2" xfId="149"/>
    <cellStyle name="Normal 2 2 3" xfId="90"/>
    <cellStyle name="Normal 2 2 3 2" xfId="150"/>
    <cellStyle name="Normal 2 2 4" xfId="91"/>
    <cellStyle name="Normal 2 2 4 2" xfId="151"/>
    <cellStyle name="Normal 2 2 5" xfId="148"/>
    <cellStyle name="Normal 2 3" xfId="78"/>
    <cellStyle name="Normal 2 3 2" xfId="92"/>
    <cellStyle name="Normal 2 3 2 2" xfId="152"/>
    <cellStyle name="Normal 2 3 3" xfId="105"/>
    <cellStyle name="Normal 2 4" xfId="85"/>
    <cellStyle name="Normal 2 4 2" xfId="107"/>
    <cellStyle name="Normal 2 4 3" xfId="153"/>
    <cellStyle name="Normal 2 5" xfId="98"/>
    <cellStyle name="Normal 2 6" xfId="108"/>
    <cellStyle name="Normal 3" xfId="54"/>
    <cellStyle name="Normal 3 2" xfId="86"/>
    <cellStyle name="Normal 3 2 2" xfId="102"/>
    <cellStyle name="Normal 3 3" xfId="93"/>
    <cellStyle name="Normal 3 4" xfId="154"/>
    <cellStyle name="Normal 4" xfId="79"/>
    <cellStyle name="Normal 4 2" xfId="94"/>
    <cellStyle name="Normal 4 3" xfId="106"/>
    <cellStyle name="Normal 5" xfId="82"/>
    <cellStyle name="Note 2" xfId="55"/>
    <cellStyle name="Note 2 2" xfId="80"/>
    <cellStyle name="Output 2" xfId="56"/>
    <cellStyle name="Percent" xfId="57" builtinId="5"/>
    <cellStyle name="Percent 2" xfId="58"/>
    <cellStyle name="Percent 2 2" xfId="59"/>
    <cellStyle name="Percent 2 2 2" xfId="103"/>
    <cellStyle name="Percent 2 3" xfId="81"/>
    <cellStyle name="Percent 3" xfId="60"/>
    <cellStyle name="Percent 3 2" xfId="61"/>
    <cellStyle name="Percent 3 2 2" xfId="68"/>
    <cellStyle name="Percent 4" xfId="62"/>
    <cellStyle name="Percent 4 2" xfId="104"/>
    <cellStyle name="Percent 5" xfId="70"/>
    <cellStyle name="Percent 5 2" xfId="73"/>
    <cellStyle name="Percent 5 3" xfId="155"/>
    <cellStyle name="Percent 6" xfId="84"/>
    <cellStyle name="Percent 7" xfId="156"/>
    <cellStyle name="SAPBEXaggData" xfId="95"/>
    <cellStyle name="SAPBEXaggDataEmph" xfId="109"/>
    <cellStyle name="SAPBEXaggItem" xfId="110"/>
    <cellStyle name="SAPBEXaggItemX" xfId="111"/>
    <cellStyle name="SAPBEXchaText" xfId="112"/>
    <cellStyle name="SAPBEXexcBad7" xfId="113"/>
    <cellStyle name="SAPBEXexcBad8" xfId="114"/>
    <cellStyle name="SAPBEXexcBad9" xfId="115"/>
    <cellStyle name="SAPBEXexcCritical4" xfId="116"/>
    <cellStyle name="SAPBEXexcCritical5" xfId="117"/>
    <cellStyle name="SAPBEXexcCritical6" xfId="118"/>
    <cellStyle name="SAPBEXexcGood1" xfId="119"/>
    <cellStyle name="SAPBEXexcGood2" xfId="120"/>
    <cellStyle name="SAPBEXexcGood3" xfId="121"/>
    <cellStyle name="SAPBEXfilterDrill" xfId="122"/>
    <cellStyle name="SAPBEXfilterItem" xfId="123"/>
    <cellStyle name="SAPBEXfilterText" xfId="124"/>
    <cellStyle name="SAPBEXformats" xfId="125"/>
    <cellStyle name="SAPBEXheaderItem" xfId="126"/>
    <cellStyle name="SAPBEXheaderText" xfId="127"/>
    <cellStyle name="SAPBEXHLevel0" xfId="128"/>
    <cellStyle name="SAPBEXHLevel0X" xfId="129"/>
    <cellStyle name="SAPBEXHLevel1" xfId="130"/>
    <cellStyle name="SAPBEXHLevel1X" xfId="131"/>
    <cellStyle name="SAPBEXHLevel2" xfId="132"/>
    <cellStyle name="SAPBEXHLevel2X" xfId="133"/>
    <cellStyle name="SAPBEXHLevel3" xfId="134"/>
    <cellStyle name="SAPBEXHLevel3X" xfId="135"/>
    <cellStyle name="SAPBEXresData" xfId="136"/>
    <cellStyle name="SAPBEXresDataEmph" xfId="137"/>
    <cellStyle name="SAPBEXresItem" xfId="138"/>
    <cellStyle name="SAPBEXresItemX" xfId="139"/>
    <cellStyle name="SAPBEXstdData" xfId="140"/>
    <cellStyle name="SAPBEXstdDataEmph" xfId="141"/>
    <cellStyle name="SAPBEXstdItem" xfId="142"/>
    <cellStyle name="SAPBEXstdItemX" xfId="143"/>
    <cellStyle name="SAPBEXtitle" xfId="144"/>
    <cellStyle name="SAPBEXundefined" xfId="145"/>
    <cellStyle name="Title 2" xfId="63"/>
    <cellStyle name="Total" xfId="64" builtinId="25" customBuiltin="1"/>
    <cellStyle name="Total 2" xfId="65"/>
    <cellStyle name="Total 3" xfId="96"/>
    <cellStyle name="Warning Text 2" xfId="6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143AF8"/>
      <color rgb="FF161B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2015%20BGS-RSCP%20for%202016-2017/2015-11%20Compliance%20Filing/2015%20BGS-RSCP%20for%202016-2017/2015-07%20Initial%20Filing/BGS-FP%20Initial%20Filing%20Supporting%20Documents/Table3%20-%20kWh%20forecast/LPLS%20Split%20Mar%202015.xls" TargetMode="External"/><Relationship Id="rId13"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 Id="rId1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hyperlink" Target="../../2015%20BGS-RSCP%20for%202016-2017/2015-11%20Compliance%20Filing/2015%20BGS-RSCP%20for%202016-2017/2015-07%20Initial%20Filing/BGS-FP%20Initial%20Filing%20Supporting%20Documents/Table3%20-%20kWh%20forecast/Net%20Sales%20Forecast%20used%20in%2015-16%20BGS.xls" TargetMode="External"/><Relationship Id="rId12" Type="http://schemas.openxmlformats.org/officeDocument/2006/relationships/hyperlink" Target="../../2015%20BGS-RSCP%20for%202016-2017/2015-11%20Compliance%20Filing/2014%20BGS-FP%20for%202015-2016/BGS-FP%20Bid%20Factors%20for%202015-16FINAL(02-13-15).xlsx" TargetMode="External"/><Relationship Id="rId1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printerSettings" Target="../printerSettings/printerSettings5.bin"/><Relationship Id="rId1" Type="http://schemas.openxmlformats.org/officeDocument/2006/relationships/printerSettings" Target="../printerSettings/printerSettings1.bin"/><Relationship Id="rId6" Type="http://schemas.openxmlformats.org/officeDocument/2006/relationships/hyperlink" Target="../../2015%20BGS-RSCP%20for%202016-2017/2015-11%20Compliance%20Filing/2015%20BGS-RSCP%20for%202016-2017/2015-07%20Initial%20Filing/BGS-FP%20Initial%20Filing%20Supporting%20Documents/Table1&amp;2%20-%20OnPeak%25/Table%202%20-%20001.2014%20-%20012.2014%20KWH%20(RLM,%20LPLS-H-O).xls" TargetMode="External"/><Relationship Id="rId11" Type="http://schemas.openxmlformats.org/officeDocument/2006/relationships/hyperlink" Target="../../2015%20BGS-RSCP%20for%202016-2017/2015-11%20Compliance%20Filing/2015%20BGS-RSCP%20for%202016-2017/2015-07%20Initial%20Filing/BGS-FP%20Initial%20Filing%20Supporting%20Documents/Table10%20-%20Gen%20and%20Trans%20Obs/CAP%20AND%20TRAN%20LOADS%20FOR%202015%20For%20Myron%20-%20Copy.xls" TargetMode="External"/><Relationship Id="rId5" Type="http://schemas.openxmlformats.org/officeDocument/2006/relationships/hyperlink" Target="../../2015%20BGS-RSCP%20for%202016-2017/2015-11%20Compliance%20Filing/2015%20BGS-RSCP%20for%202016-2017/2015-07%20Initial%20Filing/BGS-FP%20Initial%20Filing%20Supporting%20Documents/Table1&amp;2%20-%20OnPeak%25/Table%201%20-%20Time%20period%20usage%20for%202016-17%20Spreadsheet.xls" TargetMode="External"/><Relationship Id="rId15" Type="http://schemas.openxmlformats.org/officeDocument/2006/relationships/hyperlink" Target="../../2015%20BGS-RSCP%20for%202016-2017/2015-11%20Compliance%20Filing/2014%20BGS-FP%20for%202015-2016/BGS-FP%20Bid%20Factors%20for%202015-16FINAL(02-13-15).xlsx" TargetMode="External"/><Relationship Id="rId10"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 Id="rId4" Type="http://schemas.openxmlformats.org/officeDocument/2006/relationships/printerSettings" Target="../printerSettings/printerSettings4.bin"/><Relationship Id="rId9"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 Id="rId14" Type="http://schemas.openxmlformats.org/officeDocument/2006/relationships/hyperlink" Target="../../2015%20BGS-RSCP%20for%202016-2017/2015-11%20Compliance%20Filing/2015%20BGS-RSCP%20for%202016-2017/2015-07%20Initial%20Filing/BGS-FP%20Initial%20Filing%20Supporting%20Documents/Table4&amp;5&amp;6%20-%20NERA%20Inputs/2016%20Inputs%20to%20FP%20Pricing_3%20JUN%202015_DRAFT.xls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F394"/>
  <sheetViews>
    <sheetView tabSelected="1" view="pageBreakPreview" zoomScaleNormal="85" zoomScaleSheetLayoutView="100" workbookViewId="0">
      <selection activeCell="B7" sqref="B7"/>
    </sheetView>
  </sheetViews>
  <sheetFormatPr defaultColWidth="9.140625" defaultRowHeight="12.75" outlineLevelRow="1" x14ac:dyDescent="0.2"/>
  <cols>
    <col min="1" max="1" width="17.42578125" style="174" customWidth="1"/>
    <col min="2" max="2" width="36.28515625" style="175" customWidth="1"/>
    <col min="3" max="3" width="13.42578125" style="175" customWidth="1"/>
    <col min="4" max="4" width="11" style="175" customWidth="1"/>
    <col min="5" max="5" width="17.7109375" style="175" customWidth="1"/>
    <col min="6" max="6" width="12.7109375" style="175" customWidth="1"/>
    <col min="7" max="8" width="10.7109375" style="175" customWidth="1"/>
    <col min="9" max="9" width="11" style="175" customWidth="1"/>
    <col min="10" max="10" width="10.7109375" style="175" customWidth="1"/>
    <col min="11" max="11" width="12.28515625" style="175" customWidth="1"/>
    <col min="12" max="12" width="12.42578125" style="175" customWidth="1"/>
    <col min="13" max="13" width="16.5703125" style="175" customWidth="1"/>
    <col min="14" max="14" width="15.140625" style="175" bestFit="1" customWidth="1"/>
    <col min="15" max="15" width="10.42578125" style="175" customWidth="1"/>
    <col min="16" max="16" width="25.85546875" style="175" customWidth="1"/>
    <col min="17" max="17" width="11.140625" style="175" customWidth="1"/>
    <col min="18" max="18" width="10.85546875" style="175" bestFit="1" customWidth="1"/>
    <col min="19" max="19" width="9.140625" style="175"/>
    <col min="20" max="20" width="10.140625" style="175" bestFit="1" customWidth="1"/>
    <col min="21" max="21" width="14.42578125" style="175" customWidth="1"/>
    <col min="22" max="22" width="11" style="175" bestFit="1" customWidth="1"/>
    <col min="23" max="23" width="10.7109375" style="175" customWidth="1"/>
    <col min="24" max="24" width="11.7109375" style="175" customWidth="1"/>
    <col min="25" max="25" width="11.28515625" style="175" bestFit="1" customWidth="1"/>
    <col min="26" max="26" width="10.140625" style="175" customWidth="1"/>
    <col min="27" max="27" width="10.7109375" style="175" customWidth="1"/>
    <col min="28" max="28" width="12.85546875" style="175" bestFit="1" customWidth="1"/>
    <col min="29" max="29" width="9.140625" style="175"/>
    <col min="30" max="30" width="17.5703125" style="175" customWidth="1"/>
    <col min="31" max="31" width="9.140625" style="175"/>
    <col min="32" max="32" width="10.28515625" style="175" bestFit="1" customWidth="1"/>
    <col min="33" max="33" width="10.5703125" style="175" customWidth="1"/>
    <col min="34" max="16384" width="9.140625" style="175"/>
  </cols>
  <sheetData>
    <row r="1" spans="1:24" x14ac:dyDescent="0.2">
      <c r="A1" s="175"/>
      <c r="B1" s="359"/>
      <c r="C1" s="359"/>
      <c r="D1" s="359"/>
      <c r="E1" s="359"/>
      <c r="F1" s="359"/>
      <c r="G1" s="359"/>
      <c r="H1" s="359"/>
      <c r="I1" s="359"/>
      <c r="J1" s="359"/>
      <c r="K1" s="359"/>
      <c r="L1" s="359"/>
      <c r="M1" s="359"/>
    </row>
    <row r="2" spans="1:24" x14ac:dyDescent="0.2">
      <c r="A2" s="180"/>
      <c r="B2" s="359"/>
      <c r="C2" s="359"/>
      <c r="D2" s="359"/>
      <c r="E2" s="359"/>
      <c r="F2" s="359"/>
      <c r="G2" s="359"/>
      <c r="H2" s="359"/>
      <c r="I2" s="359"/>
      <c r="J2" s="359"/>
      <c r="K2" s="359"/>
      <c r="L2" s="359"/>
      <c r="M2" s="359"/>
    </row>
    <row r="3" spans="1:24" x14ac:dyDescent="0.2">
      <c r="B3" s="359"/>
      <c r="C3" s="359"/>
      <c r="D3" s="359"/>
      <c r="E3" s="359"/>
      <c r="F3" s="359"/>
      <c r="G3" s="359"/>
      <c r="H3" s="359"/>
      <c r="I3" s="359"/>
      <c r="J3" s="359"/>
      <c r="K3" s="359"/>
      <c r="L3" s="359"/>
      <c r="M3" s="359"/>
    </row>
    <row r="4" spans="1:24" x14ac:dyDescent="0.2">
      <c r="A4" s="175"/>
      <c r="B4" s="359"/>
      <c r="C4" s="359"/>
      <c r="D4" s="359"/>
      <c r="E4" s="359"/>
      <c r="F4" s="359"/>
      <c r="G4" s="359"/>
      <c r="H4" s="359"/>
      <c r="I4" s="359"/>
      <c r="J4" s="359"/>
      <c r="K4" s="359"/>
      <c r="L4" s="359"/>
      <c r="M4" s="359"/>
    </row>
    <row r="5" spans="1:24" x14ac:dyDescent="0.2">
      <c r="A5" s="253"/>
      <c r="B5" s="359"/>
      <c r="C5" s="359"/>
      <c r="D5" s="359"/>
      <c r="E5" s="359"/>
      <c r="F5" s="359"/>
      <c r="G5" s="359"/>
      <c r="H5" s="359"/>
      <c r="I5" s="359"/>
      <c r="J5" s="359"/>
      <c r="K5" s="359"/>
      <c r="L5" s="359"/>
      <c r="M5" s="359"/>
    </row>
    <row r="6" spans="1:24" x14ac:dyDescent="0.2">
      <c r="C6" s="176"/>
      <c r="D6" s="176"/>
      <c r="E6" s="176"/>
      <c r="F6" s="176"/>
      <c r="G6" s="176"/>
      <c r="H6" s="176"/>
      <c r="I6" s="176"/>
      <c r="J6" s="176"/>
      <c r="K6" s="176"/>
      <c r="L6" s="176"/>
    </row>
    <row r="7" spans="1:24" ht="15.75" x14ac:dyDescent="0.25">
      <c r="B7" s="336" t="s">
        <v>389</v>
      </c>
      <c r="C7" s="230"/>
      <c r="D7" s="230"/>
      <c r="E7" s="230"/>
      <c r="F7" s="230"/>
      <c r="J7" s="336"/>
    </row>
    <row r="8" spans="1:24" x14ac:dyDescent="0.2">
      <c r="A8" s="177"/>
      <c r="B8" s="178" t="s">
        <v>91</v>
      </c>
      <c r="C8" s="230"/>
      <c r="D8" s="230"/>
      <c r="E8" s="230"/>
      <c r="F8" s="230"/>
    </row>
    <row r="9" spans="1:24" x14ac:dyDescent="0.2">
      <c r="B9" s="230"/>
      <c r="C9" s="230"/>
      <c r="D9" s="230"/>
      <c r="E9" s="179" t="s">
        <v>370</v>
      </c>
      <c r="F9" s="230"/>
    </row>
    <row r="10" spans="1:24" x14ac:dyDescent="0.2">
      <c r="A10" s="180" t="s">
        <v>64</v>
      </c>
      <c r="B10" s="181" t="s">
        <v>130</v>
      </c>
      <c r="C10" s="279"/>
      <c r="D10" s="230"/>
      <c r="E10" s="179" t="s">
        <v>60</v>
      </c>
      <c r="F10" s="230"/>
      <c r="N10" s="181"/>
      <c r="O10" s="181"/>
      <c r="P10" s="230"/>
      <c r="Q10" s="230"/>
      <c r="R10" s="230"/>
      <c r="S10" s="230"/>
      <c r="T10" s="230"/>
      <c r="U10" s="230"/>
      <c r="V10" s="230"/>
      <c r="W10" s="230"/>
      <c r="X10" s="230"/>
    </row>
    <row r="11" spans="1:24" ht="25.5" x14ac:dyDescent="0.2">
      <c r="A11" s="182"/>
      <c r="B11" s="280"/>
      <c r="C11" s="183" t="s">
        <v>50</v>
      </c>
      <c r="D11" s="183" t="s">
        <v>50</v>
      </c>
      <c r="E11" s="183" t="s">
        <v>50</v>
      </c>
      <c r="F11" s="183" t="s">
        <v>50</v>
      </c>
      <c r="G11" s="183" t="s">
        <v>50</v>
      </c>
      <c r="H11" s="183" t="s">
        <v>50</v>
      </c>
      <c r="I11" s="184" t="s">
        <v>96</v>
      </c>
      <c r="J11" s="281"/>
      <c r="K11" s="183" t="s">
        <v>50</v>
      </c>
      <c r="L11" s="183" t="s">
        <v>50</v>
      </c>
      <c r="M11" s="185"/>
      <c r="N11" s="179"/>
      <c r="O11" s="185"/>
      <c r="P11" s="185"/>
      <c r="Q11" s="185"/>
      <c r="R11" s="185"/>
      <c r="S11" s="185"/>
      <c r="T11" s="185"/>
      <c r="U11" s="179"/>
      <c r="V11" s="282"/>
      <c r="W11" s="185"/>
      <c r="X11" s="185"/>
    </row>
    <row r="12" spans="1:24" x14ac:dyDescent="0.2">
      <c r="A12" s="182"/>
      <c r="B12" s="186" t="s">
        <v>235</v>
      </c>
      <c r="C12" s="187" t="s">
        <v>0</v>
      </c>
      <c r="D12" s="187" t="s">
        <v>1</v>
      </c>
      <c r="E12" s="187" t="s">
        <v>2</v>
      </c>
      <c r="F12" s="187" t="s">
        <v>3</v>
      </c>
      <c r="G12" s="187" t="s">
        <v>4</v>
      </c>
      <c r="H12" s="187" t="s">
        <v>6</v>
      </c>
      <c r="I12" s="187" t="s">
        <v>37</v>
      </c>
      <c r="J12" s="187" t="s">
        <v>38</v>
      </c>
      <c r="K12" s="187" t="s">
        <v>5</v>
      </c>
      <c r="L12" s="187" t="s">
        <v>36</v>
      </c>
      <c r="M12" s="188"/>
      <c r="N12" s="189"/>
      <c r="O12" s="176"/>
      <c r="P12" s="176"/>
      <c r="Q12" s="176"/>
      <c r="R12" s="176"/>
      <c r="S12" s="176"/>
      <c r="T12" s="176"/>
      <c r="U12" s="176"/>
      <c r="V12" s="176"/>
      <c r="W12" s="176"/>
      <c r="X12" s="176"/>
    </row>
    <row r="13" spans="1:24" x14ac:dyDescent="0.2">
      <c r="A13" s="182"/>
      <c r="B13" s="190"/>
      <c r="C13" s="187"/>
      <c r="D13" s="187"/>
      <c r="E13" s="187"/>
      <c r="F13" s="187"/>
      <c r="G13" s="187"/>
      <c r="H13" s="187"/>
      <c r="I13" s="187"/>
      <c r="J13" s="187"/>
      <c r="K13" s="187"/>
      <c r="L13" s="187"/>
      <c r="O13" s="230"/>
      <c r="P13" s="230"/>
      <c r="Q13" s="230"/>
      <c r="R13" s="230"/>
      <c r="S13" s="230"/>
      <c r="T13" s="230"/>
      <c r="U13" s="230"/>
      <c r="V13" s="230"/>
      <c r="W13" s="230"/>
      <c r="X13" s="230"/>
    </row>
    <row r="14" spans="1:24" x14ac:dyDescent="0.2">
      <c r="A14" s="182"/>
      <c r="B14" s="191" t="s">
        <v>7</v>
      </c>
      <c r="C14" s="337">
        <v>0.47570000000000001</v>
      </c>
      <c r="D14" s="337">
        <v>0.46899999999999997</v>
      </c>
      <c r="E14" s="337">
        <v>0.48270000000000002</v>
      </c>
      <c r="F14" s="337">
        <v>0.43669999999999998</v>
      </c>
      <c r="G14" s="337">
        <v>0.43669999999999998</v>
      </c>
      <c r="H14" s="337">
        <v>0.4713</v>
      </c>
      <c r="I14" s="337">
        <v>0.29970000000000002</v>
      </c>
      <c r="J14" s="337">
        <v>0.29970000000000002</v>
      </c>
      <c r="K14" s="337">
        <v>0.55600000000000005</v>
      </c>
      <c r="L14" s="337">
        <v>0.53700000000000003</v>
      </c>
      <c r="M14" s="192"/>
      <c r="N14" s="193"/>
      <c r="O14" s="283"/>
      <c r="P14" s="283"/>
      <c r="Q14" s="283"/>
      <c r="R14" s="283"/>
      <c r="S14" s="283"/>
      <c r="T14" s="283"/>
      <c r="U14" s="283"/>
      <c r="V14" s="283"/>
      <c r="W14" s="283"/>
      <c r="X14" s="283"/>
    </row>
    <row r="15" spans="1:24" x14ac:dyDescent="0.2">
      <c r="A15" s="182"/>
      <c r="B15" s="191" t="s">
        <v>8</v>
      </c>
      <c r="C15" s="337">
        <v>0.502</v>
      </c>
      <c r="D15" s="337">
        <v>0.48499999999999999</v>
      </c>
      <c r="E15" s="337">
        <v>0.50929999999999997</v>
      </c>
      <c r="F15" s="337">
        <v>0.45269999999999999</v>
      </c>
      <c r="G15" s="337">
        <v>0.45269999999999999</v>
      </c>
      <c r="H15" s="337">
        <v>0.48530000000000001</v>
      </c>
      <c r="I15" s="337">
        <v>0.29670000000000002</v>
      </c>
      <c r="J15" s="337">
        <v>0.29670000000000002</v>
      </c>
      <c r="K15" s="337">
        <v>0.57330000000000003</v>
      </c>
      <c r="L15" s="337">
        <v>0.56030000000000002</v>
      </c>
      <c r="M15" s="192"/>
      <c r="N15" s="193"/>
      <c r="O15" s="283"/>
      <c r="P15" s="283"/>
      <c r="Q15" s="283"/>
      <c r="R15" s="283"/>
      <c r="S15" s="283"/>
      <c r="T15" s="283"/>
      <c r="U15" s="283"/>
      <c r="V15" s="283"/>
      <c r="W15" s="283"/>
      <c r="X15" s="283"/>
    </row>
    <row r="16" spans="1:24" x14ac:dyDescent="0.2">
      <c r="A16" s="182"/>
      <c r="B16" s="191" t="s">
        <v>9</v>
      </c>
      <c r="C16" s="337">
        <v>0.49199999999999999</v>
      </c>
      <c r="D16" s="337">
        <v>0.48870000000000002</v>
      </c>
      <c r="E16" s="337">
        <v>0.49930000000000002</v>
      </c>
      <c r="F16" s="337">
        <v>0.46400000000000002</v>
      </c>
      <c r="G16" s="337">
        <v>0.46400000000000002</v>
      </c>
      <c r="H16" s="337">
        <v>0.47870000000000001</v>
      </c>
      <c r="I16" s="337">
        <v>0.253</v>
      </c>
      <c r="J16" s="337">
        <v>0.253</v>
      </c>
      <c r="K16" s="337">
        <v>0.57730000000000004</v>
      </c>
      <c r="L16" s="337">
        <v>0.56269999999999998</v>
      </c>
      <c r="M16" s="192"/>
      <c r="N16" s="193"/>
      <c r="O16" s="283"/>
      <c r="P16" s="283"/>
      <c r="Q16" s="283"/>
      <c r="R16" s="283"/>
      <c r="S16" s="283"/>
      <c r="T16" s="283"/>
      <c r="U16" s="283"/>
      <c r="V16" s="283"/>
      <c r="W16" s="283"/>
      <c r="X16" s="283"/>
    </row>
    <row r="17" spans="1:24" x14ac:dyDescent="0.2">
      <c r="A17" s="182"/>
      <c r="B17" s="191" t="s">
        <v>10</v>
      </c>
      <c r="C17" s="337">
        <v>0.51029999999999998</v>
      </c>
      <c r="D17" s="337">
        <v>0.51829999999999998</v>
      </c>
      <c r="E17" s="337">
        <v>0.51670000000000005</v>
      </c>
      <c r="F17" s="337">
        <v>0.46729999999999999</v>
      </c>
      <c r="G17" s="337">
        <v>0.46729999999999999</v>
      </c>
      <c r="H17" s="337">
        <v>0.50829999999999997</v>
      </c>
      <c r="I17" s="337">
        <v>0.2293</v>
      </c>
      <c r="J17" s="337">
        <v>0.2293</v>
      </c>
      <c r="K17" s="337">
        <v>0.59499999999999997</v>
      </c>
      <c r="L17" s="337">
        <v>0.58030000000000004</v>
      </c>
      <c r="M17" s="192"/>
      <c r="N17" s="193"/>
      <c r="O17" s="283"/>
      <c r="P17" s="283"/>
      <c r="Q17" s="283"/>
      <c r="R17" s="283"/>
      <c r="S17" s="283"/>
      <c r="T17" s="283"/>
      <c r="U17" s="283"/>
      <c r="V17" s="283"/>
      <c r="W17" s="283"/>
      <c r="X17" s="283"/>
    </row>
    <row r="18" spans="1:24" x14ac:dyDescent="0.2">
      <c r="A18" s="182"/>
      <c r="B18" s="191" t="s">
        <v>11</v>
      </c>
      <c r="C18" s="337">
        <v>0.46800000000000003</v>
      </c>
      <c r="D18" s="337">
        <v>0.48470000000000002</v>
      </c>
      <c r="E18" s="337">
        <v>0.48270000000000002</v>
      </c>
      <c r="F18" s="337">
        <v>0.42030000000000001</v>
      </c>
      <c r="G18" s="337">
        <v>0.42030000000000001</v>
      </c>
      <c r="H18" s="337">
        <v>0.54269999999999996</v>
      </c>
      <c r="I18" s="337">
        <v>0.20200000000000001</v>
      </c>
      <c r="J18" s="337">
        <v>0.20200000000000001</v>
      </c>
      <c r="K18" s="337">
        <v>0.56699999999999995</v>
      </c>
      <c r="L18" s="337">
        <v>0.55300000000000005</v>
      </c>
      <c r="M18" s="192"/>
      <c r="N18" s="193"/>
      <c r="O18" s="283"/>
      <c r="P18" s="283"/>
      <c r="Q18" s="283"/>
      <c r="R18" s="283"/>
      <c r="S18" s="283"/>
      <c r="T18" s="283"/>
      <c r="U18" s="283"/>
      <c r="V18" s="283"/>
      <c r="W18" s="283"/>
      <c r="X18" s="283"/>
    </row>
    <row r="19" spans="1:24" x14ac:dyDescent="0.2">
      <c r="A19" s="182"/>
      <c r="B19" s="191" t="s">
        <v>12</v>
      </c>
      <c r="C19" s="337">
        <v>0.53369999999999995</v>
      </c>
      <c r="D19" s="337">
        <v>0.54330000000000001</v>
      </c>
      <c r="E19" s="337">
        <v>0.55430000000000001</v>
      </c>
      <c r="F19" s="337">
        <v>0.46899999999999997</v>
      </c>
      <c r="G19" s="337">
        <v>0.46899999999999997</v>
      </c>
      <c r="H19" s="337">
        <v>0.64170000000000005</v>
      </c>
      <c r="I19" s="337">
        <v>0.20369999999999999</v>
      </c>
      <c r="J19" s="337">
        <v>0.20369999999999999</v>
      </c>
      <c r="K19" s="337">
        <v>0.61429999999999996</v>
      </c>
      <c r="L19" s="337">
        <v>0.59</v>
      </c>
      <c r="M19" s="192"/>
      <c r="N19" s="193"/>
      <c r="O19" s="283"/>
      <c r="P19" s="283"/>
      <c r="Q19" s="283"/>
      <c r="R19" s="283"/>
      <c r="S19" s="283"/>
      <c r="T19" s="283"/>
      <c r="U19" s="283"/>
      <c r="V19" s="283"/>
      <c r="W19" s="283"/>
      <c r="X19" s="283"/>
    </row>
    <row r="20" spans="1:24" x14ac:dyDescent="0.2">
      <c r="A20" s="182"/>
      <c r="B20" s="191" t="s">
        <v>13</v>
      </c>
      <c r="C20" s="337">
        <v>0.52829999999999999</v>
      </c>
      <c r="D20" s="337">
        <v>0.5353</v>
      </c>
      <c r="E20" s="337">
        <v>0.54930000000000001</v>
      </c>
      <c r="F20" s="337">
        <v>0.47799999999999998</v>
      </c>
      <c r="G20" s="337">
        <v>0.47799999999999998</v>
      </c>
      <c r="H20" s="337">
        <v>0.64400000000000002</v>
      </c>
      <c r="I20" s="337">
        <v>0.1953</v>
      </c>
      <c r="J20" s="337">
        <v>0.1953</v>
      </c>
      <c r="K20" s="337">
        <v>0.6</v>
      </c>
      <c r="L20" s="337">
        <v>0.56699999999999995</v>
      </c>
      <c r="M20" s="192"/>
      <c r="N20" s="193"/>
      <c r="O20" s="283"/>
      <c r="P20" s="283"/>
      <c r="Q20" s="283"/>
      <c r="R20" s="283"/>
      <c r="S20" s="283"/>
      <c r="T20" s="283"/>
      <c r="U20" s="283"/>
      <c r="V20" s="283"/>
      <c r="W20" s="283"/>
      <c r="X20" s="283"/>
    </row>
    <row r="21" spans="1:24" x14ac:dyDescent="0.2">
      <c r="A21" s="182"/>
      <c r="B21" s="191" t="s">
        <v>14</v>
      </c>
      <c r="C21" s="337">
        <v>0.51300000000000001</v>
      </c>
      <c r="D21" s="337">
        <v>0.52600000000000002</v>
      </c>
      <c r="E21" s="337">
        <v>0.5373</v>
      </c>
      <c r="F21" s="337">
        <v>0.50370000000000004</v>
      </c>
      <c r="G21" s="337">
        <v>0.50370000000000004</v>
      </c>
      <c r="H21" s="337">
        <v>0.63270000000000004</v>
      </c>
      <c r="I21" s="337">
        <v>0.21199999999999999</v>
      </c>
      <c r="J21" s="337">
        <v>0.21199999999999999</v>
      </c>
      <c r="K21" s="337">
        <v>0.59530000000000005</v>
      </c>
      <c r="L21" s="337">
        <v>0.56069999999999998</v>
      </c>
      <c r="M21" s="192"/>
      <c r="N21" s="193"/>
      <c r="O21" s="283"/>
      <c r="P21" s="283"/>
      <c r="Q21" s="283"/>
      <c r="R21" s="283"/>
      <c r="S21" s="283"/>
      <c r="T21" s="283"/>
      <c r="U21" s="283"/>
      <c r="V21" s="283"/>
      <c r="W21" s="283"/>
      <c r="X21" s="283"/>
    </row>
    <row r="22" spans="1:24" x14ac:dyDescent="0.2">
      <c r="A22" s="182"/>
      <c r="B22" s="191" t="s">
        <v>15</v>
      </c>
      <c r="C22" s="337">
        <v>0.502</v>
      </c>
      <c r="D22" s="337">
        <v>0.52070000000000005</v>
      </c>
      <c r="E22" s="337">
        <v>0.52500000000000002</v>
      </c>
      <c r="F22" s="337">
        <v>0.48970000000000002</v>
      </c>
      <c r="G22" s="337">
        <v>0.48970000000000002</v>
      </c>
      <c r="H22" s="337">
        <v>0.63100000000000001</v>
      </c>
      <c r="I22" s="337">
        <v>0.23769999999999999</v>
      </c>
      <c r="J22" s="337">
        <v>0.23769999999999999</v>
      </c>
      <c r="K22" s="337">
        <v>0.59699999999999998</v>
      </c>
      <c r="L22" s="337">
        <v>0.56830000000000003</v>
      </c>
      <c r="M22" s="192"/>
      <c r="N22" s="193"/>
      <c r="O22" s="283"/>
      <c r="P22" s="283"/>
      <c r="Q22" s="283"/>
      <c r="R22" s="283"/>
      <c r="S22" s="283"/>
      <c r="T22" s="283"/>
      <c r="U22" s="283"/>
      <c r="V22" s="283"/>
      <c r="W22" s="283"/>
      <c r="X22" s="283"/>
    </row>
    <row r="23" spans="1:24" x14ac:dyDescent="0.2">
      <c r="A23" s="182"/>
      <c r="B23" s="191" t="s">
        <v>16</v>
      </c>
      <c r="C23" s="337">
        <v>0.50070000000000003</v>
      </c>
      <c r="D23" s="337">
        <v>0.51670000000000005</v>
      </c>
      <c r="E23" s="337">
        <v>0.52100000000000002</v>
      </c>
      <c r="F23" s="337">
        <v>0.504</v>
      </c>
      <c r="G23" s="337">
        <v>0.504</v>
      </c>
      <c r="H23" s="337">
        <v>0.57230000000000003</v>
      </c>
      <c r="I23" s="337">
        <v>0.2697</v>
      </c>
      <c r="J23" s="337">
        <v>0.2697</v>
      </c>
      <c r="K23" s="337">
        <v>0.59870000000000001</v>
      </c>
      <c r="L23" s="337">
        <v>0.57669999999999999</v>
      </c>
      <c r="M23" s="192"/>
      <c r="N23" s="193"/>
      <c r="O23" s="283"/>
      <c r="P23" s="283"/>
      <c r="Q23" s="283"/>
      <c r="R23" s="283"/>
      <c r="S23" s="283"/>
      <c r="T23" s="283"/>
      <c r="U23" s="283"/>
      <c r="V23" s="283"/>
      <c r="W23" s="283"/>
      <c r="X23" s="283"/>
    </row>
    <row r="24" spans="1:24" x14ac:dyDescent="0.2">
      <c r="A24" s="182"/>
      <c r="B24" s="191" t="s">
        <v>17</v>
      </c>
      <c r="C24" s="337">
        <v>0.45669999999999999</v>
      </c>
      <c r="D24" s="337">
        <v>0.45469999999999999</v>
      </c>
      <c r="E24" s="337">
        <v>0.47970000000000002</v>
      </c>
      <c r="F24" s="337">
        <v>0.42399999999999999</v>
      </c>
      <c r="G24" s="337">
        <v>0.42399999999999999</v>
      </c>
      <c r="H24" s="337">
        <v>0.47070000000000001</v>
      </c>
      <c r="I24" s="337">
        <v>0.29799999999999999</v>
      </c>
      <c r="J24" s="337">
        <v>0.29799999999999999</v>
      </c>
      <c r="K24" s="337">
        <v>0.55469999999999997</v>
      </c>
      <c r="L24" s="337">
        <v>0.5333</v>
      </c>
      <c r="M24" s="192"/>
      <c r="N24" s="193"/>
      <c r="O24" s="283"/>
      <c r="P24" s="283"/>
      <c r="Q24" s="283"/>
      <c r="R24" s="283"/>
      <c r="S24" s="283"/>
      <c r="T24" s="283"/>
      <c r="U24" s="283"/>
      <c r="V24" s="283"/>
      <c r="W24" s="283"/>
      <c r="X24" s="283"/>
    </row>
    <row r="25" spans="1:24" x14ac:dyDescent="0.2">
      <c r="A25" s="182"/>
      <c r="B25" s="191" t="s">
        <v>18</v>
      </c>
      <c r="C25" s="337">
        <v>0.49230000000000002</v>
      </c>
      <c r="D25" s="337">
        <v>0.49170000000000003</v>
      </c>
      <c r="E25" s="337">
        <v>0.51270000000000004</v>
      </c>
      <c r="F25" s="337">
        <v>0.45500000000000002</v>
      </c>
      <c r="G25" s="337">
        <v>0.45500000000000002</v>
      </c>
      <c r="H25" s="337">
        <v>0.49730000000000002</v>
      </c>
      <c r="I25" s="337">
        <v>0.318</v>
      </c>
      <c r="J25" s="337">
        <v>0.318</v>
      </c>
      <c r="K25" s="337">
        <v>0.57399999999999995</v>
      </c>
      <c r="L25" s="337">
        <v>0.54830000000000001</v>
      </c>
      <c r="M25" s="192"/>
      <c r="N25" s="193"/>
      <c r="O25" s="283"/>
      <c r="P25" s="283"/>
      <c r="Q25" s="283"/>
      <c r="R25" s="283"/>
      <c r="S25" s="283"/>
      <c r="T25" s="283"/>
      <c r="U25" s="283"/>
      <c r="V25" s="283"/>
      <c r="W25" s="283"/>
      <c r="X25" s="283"/>
    </row>
    <row r="26" spans="1:24" x14ac:dyDescent="0.2">
      <c r="A26" s="182"/>
      <c r="B26" s="194"/>
      <c r="C26" s="193"/>
      <c r="D26" s="193"/>
      <c r="E26" s="193"/>
      <c r="F26" s="193"/>
      <c r="G26" s="193"/>
      <c r="H26" s="193"/>
      <c r="I26" s="193"/>
      <c r="J26" s="193"/>
      <c r="K26" s="193"/>
      <c r="L26" s="193"/>
      <c r="M26" s="193"/>
      <c r="N26" s="193"/>
      <c r="O26" s="283"/>
      <c r="P26" s="283"/>
      <c r="Q26" s="283"/>
      <c r="R26" s="283"/>
      <c r="S26" s="283"/>
      <c r="T26" s="283"/>
      <c r="U26" s="283"/>
      <c r="V26" s="283"/>
      <c r="W26" s="283"/>
      <c r="X26" s="283"/>
    </row>
    <row r="27" spans="1:24" x14ac:dyDescent="0.2">
      <c r="A27" s="182"/>
      <c r="B27" s="194"/>
      <c r="C27" s="193"/>
      <c r="D27" s="193"/>
      <c r="E27" s="179" t="str">
        <f>E9</f>
        <v>Based on average of year 2014,2015 &amp; 2016 Load Profile Information</v>
      </c>
      <c r="K27" s="193"/>
      <c r="L27" s="193"/>
      <c r="M27" s="193"/>
      <c r="N27" s="193"/>
      <c r="O27" s="283"/>
      <c r="P27" s="283"/>
      <c r="Q27" s="283"/>
      <c r="R27" s="283"/>
      <c r="S27" s="283"/>
      <c r="T27" s="283"/>
      <c r="U27" s="283"/>
      <c r="V27" s="283"/>
      <c r="W27" s="283"/>
      <c r="X27" s="283"/>
    </row>
    <row r="28" spans="1:24" x14ac:dyDescent="0.2">
      <c r="A28" s="180" t="s">
        <v>65</v>
      </c>
      <c r="B28" s="181" t="s">
        <v>131</v>
      </c>
      <c r="C28" s="193"/>
      <c r="D28" s="193"/>
      <c r="E28" s="195" t="s">
        <v>382</v>
      </c>
      <c r="G28" s="193"/>
      <c r="H28" s="193"/>
      <c r="I28" s="196"/>
      <c r="J28" s="196"/>
      <c r="K28" s="193"/>
      <c r="L28" s="193"/>
      <c r="M28" s="193"/>
      <c r="N28" s="193"/>
      <c r="O28" s="283"/>
      <c r="P28" s="283"/>
      <c r="Q28" s="283"/>
      <c r="R28" s="283"/>
      <c r="S28" s="283"/>
      <c r="T28" s="283"/>
      <c r="U28" s="283"/>
      <c r="V28" s="283"/>
      <c r="W28" s="283"/>
      <c r="X28" s="283"/>
    </row>
    <row r="29" spans="1:24" ht="25.5" x14ac:dyDescent="0.2">
      <c r="A29" s="182"/>
      <c r="B29" s="190"/>
      <c r="C29" s="183" t="s">
        <v>50</v>
      </c>
      <c r="D29" s="183" t="s">
        <v>50</v>
      </c>
      <c r="E29" s="185"/>
      <c r="F29" s="179"/>
      <c r="G29" s="185"/>
      <c r="H29" s="185"/>
      <c r="I29" s="185"/>
      <c r="J29" s="185"/>
      <c r="K29" s="185"/>
      <c r="L29" s="185"/>
      <c r="M29" s="185"/>
      <c r="N29" s="185"/>
      <c r="O29" s="185"/>
      <c r="P29" s="185"/>
    </row>
    <row r="30" spans="1:24" x14ac:dyDescent="0.2">
      <c r="A30" s="182"/>
      <c r="B30" s="186" t="s">
        <v>235</v>
      </c>
      <c r="C30" s="187" t="s">
        <v>2</v>
      </c>
      <c r="D30" s="187" t="s">
        <v>36</v>
      </c>
      <c r="E30" s="176"/>
      <c r="F30" s="189"/>
      <c r="G30" s="176"/>
      <c r="H30" s="176"/>
      <c r="I30" s="176"/>
      <c r="J30" s="176"/>
      <c r="K30" s="176"/>
      <c r="L30" s="176"/>
      <c r="M30" s="176"/>
      <c r="N30" s="176"/>
      <c r="O30" s="176"/>
      <c r="P30" s="176"/>
    </row>
    <row r="31" spans="1:24" x14ac:dyDescent="0.2">
      <c r="A31" s="182"/>
      <c r="B31" s="190"/>
      <c r="C31" s="190"/>
      <c r="D31" s="190"/>
      <c r="G31" s="230"/>
      <c r="H31" s="230"/>
      <c r="I31" s="230"/>
      <c r="J31" s="230"/>
      <c r="K31" s="230"/>
      <c r="L31" s="230"/>
      <c r="M31" s="230"/>
      <c r="N31" s="230"/>
      <c r="O31" s="230"/>
      <c r="P31" s="230"/>
    </row>
    <row r="32" spans="1:24" x14ac:dyDescent="0.2">
      <c r="A32" s="182"/>
      <c r="B32" s="191" t="s">
        <v>7</v>
      </c>
      <c r="C32" s="337">
        <v>0.43409999999999999</v>
      </c>
      <c r="D32" s="338">
        <v>0.48459999999999998</v>
      </c>
      <c r="E32" s="192"/>
      <c r="F32" s="193"/>
      <c r="G32" s="283"/>
      <c r="H32" s="283"/>
      <c r="I32" s="283"/>
      <c r="J32" s="283"/>
      <c r="K32" s="283"/>
      <c r="L32" s="283"/>
      <c r="M32" s="283"/>
      <c r="N32" s="283"/>
      <c r="O32" s="283"/>
      <c r="P32" s="283"/>
    </row>
    <row r="33" spans="1:32" x14ac:dyDescent="0.2">
      <c r="A33" s="182"/>
      <c r="B33" s="191" t="s">
        <v>8</v>
      </c>
      <c r="C33" s="337">
        <v>0.42659999999999998</v>
      </c>
      <c r="D33" s="338">
        <v>0.48249999999999998</v>
      </c>
      <c r="E33" s="192"/>
      <c r="F33" s="193"/>
      <c r="G33" s="283"/>
      <c r="H33" s="283"/>
      <c r="I33" s="283"/>
      <c r="J33" s="283"/>
      <c r="K33" s="283"/>
      <c r="L33" s="283"/>
      <c r="M33" s="283"/>
      <c r="N33" s="283"/>
      <c r="O33" s="283"/>
      <c r="P33" s="283"/>
    </row>
    <row r="34" spans="1:32" x14ac:dyDescent="0.2">
      <c r="A34" s="182"/>
      <c r="B34" s="191" t="s">
        <v>9</v>
      </c>
      <c r="C34" s="337">
        <v>0.41970000000000002</v>
      </c>
      <c r="D34" s="338">
        <v>0.48480000000000001</v>
      </c>
      <c r="E34" s="192"/>
      <c r="F34" s="193"/>
      <c r="G34" s="283"/>
      <c r="H34" s="283"/>
      <c r="I34" s="283"/>
      <c r="J34" s="283"/>
      <c r="K34" s="283"/>
      <c r="L34" s="283"/>
      <c r="M34" s="283"/>
      <c r="N34" s="283"/>
      <c r="O34" s="283"/>
      <c r="P34" s="283"/>
    </row>
    <row r="35" spans="1:32" x14ac:dyDescent="0.2">
      <c r="A35" s="182"/>
      <c r="B35" s="191" t="s">
        <v>10</v>
      </c>
      <c r="C35" s="337">
        <v>0.42299999999999999</v>
      </c>
      <c r="D35" s="338">
        <v>0.49020000000000002</v>
      </c>
      <c r="E35" s="192"/>
      <c r="F35" s="193"/>
      <c r="G35" s="283"/>
      <c r="H35" s="283"/>
      <c r="I35" s="283"/>
      <c r="J35" s="283"/>
      <c r="K35" s="283"/>
      <c r="L35" s="283"/>
      <c r="M35" s="283"/>
      <c r="N35" s="283"/>
      <c r="O35" s="283"/>
      <c r="P35" s="283"/>
    </row>
    <row r="36" spans="1:32" x14ac:dyDescent="0.2">
      <c r="A36" s="182"/>
      <c r="B36" s="191" t="s">
        <v>11</v>
      </c>
      <c r="C36" s="337">
        <v>0.44019999999999998</v>
      </c>
      <c r="D36" s="338">
        <v>0.50590000000000002</v>
      </c>
      <c r="E36" s="192"/>
      <c r="F36" s="197"/>
      <c r="G36" s="283"/>
      <c r="H36" s="283"/>
      <c r="I36" s="283"/>
      <c r="J36" s="283"/>
      <c r="K36" s="283"/>
      <c r="L36" s="283"/>
      <c r="M36" s="283"/>
      <c r="N36" s="283"/>
      <c r="O36" s="283"/>
      <c r="P36" s="283"/>
    </row>
    <row r="37" spans="1:32" x14ac:dyDescent="0.2">
      <c r="A37" s="182"/>
      <c r="B37" s="191" t="s">
        <v>12</v>
      </c>
      <c r="C37" s="337">
        <v>0.46579999999999999</v>
      </c>
      <c r="D37" s="337">
        <v>0.51170000000000004</v>
      </c>
      <c r="E37" s="192"/>
      <c r="F37" s="197"/>
      <c r="G37" s="283"/>
      <c r="H37" s="283"/>
      <c r="I37" s="283"/>
      <c r="J37" s="283"/>
      <c r="K37" s="283"/>
      <c r="L37" s="283"/>
      <c r="M37" s="283"/>
      <c r="N37" s="283"/>
      <c r="O37" s="283"/>
      <c r="P37" s="283"/>
    </row>
    <row r="38" spans="1:32" x14ac:dyDescent="0.2">
      <c r="A38" s="182"/>
      <c r="B38" s="191" t="s">
        <v>13</v>
      </c>
      <c r="C38" s="337">
        <v>0.4894</v>
      </c>
      <c r="D38" s="337">
        <v>0.51300000000000001</v>
      </c>
      <c r="E38" s="192"/>
      <c r="F38" s="197"/>
      <c r="G38" s="283"/>
      <c r="H38" s="283"/>
      <c r="I38" s="283"/>
      <c r="J38" s="283"/>
      <c r="K38" s="283"/>
      <c r="L38" s="283"/>
      <c r="M38" s="283"/>
      <c r="N38" s="283"/>
      <c r="O38" s="283"/>
      <c r="P38" s="283"/>
    </row>
    <row r="39" spans="1:32" x14ac:dyDescent="0.2">
      <c r="A39" s="182"/>
      <c r="B39" s="191" t="s">
        <v>14</v>
      </c>
      <c r="C39" s="337">
        <v>0.48180000000000001</v>
      </c>
      <c r="D39" s="338">
        <v>0.50580000000000003</v>
      </c>
      <c r="E39" s="192"/>
      <c r="F39" s="197"/>
      <c r="G39" s="283"/>
      <c r="H39" s="283"/>
      <c r="I39" s="283"/>
      <c r="J39" s="283"/>
      <c r="K39" s="283"/>
      <c r="L39" s="283"/>
      <c r="M39" s="283"/>
      <c r="N39" s="283"/>
      <c r="O39" s="283"/>
      <c r="P39" s="283"/>
    </row>
    <row r="40" spans="1:32" x14ac:dyDescent="0.2">
      <c r="A40" s="182"/>
      <c r="B40" s="191" t="s">
        <v>15</v>
      </c>
      <c r="C40" s="337">
        <v>0.48480000000000001</v>
      </c>
      <c r="D40" s="338">
        <v>0.50839999999999996</v>
      </c>
      <c r="E40" s="192"/>
      <c r="F40" s="197"/>
      <c r="G40" s="283"/>
      <c r="H40" s="283"/>
      <c r="I40" s="283"/>
      <c r="J40" s="283"/>
      <c r="K40" s="283"/>
      <c r="L40" s="283"/>
      <c r="M40" s="283"/>
      <c r="N40" s="283"/>
      <c r="O40" s="283"/>
      <c r="P40" s="283"/>
    </row>
    <row r="41" spans="1:32" x14ac:dyDescent="0.2">
      <c r="A41" s="182"/>
      <c r="B41" s="191" t="s">
        <v>16</v>
      </c>
      <c r="C41" s="337">
        <v>0.45929999999999999</v>
      </c>
      <c r="D41" s="338">
        <v>0.51300000000000001</v>
      </c>
      <c r="E41" s="192"/>
      <c r="F41" s="197"/>
      <c r="G41" s="283"/>
      <c r="H41" s="283"/>
      <c r="I41" s="283"/>
      <c r="J41" s="283"/>
      <c r="K41" s="283"/>
      <c r="L41" s="283"/>
      <c r="M41" s="283"/>
      <c r="N41" s="283"/>
      <c r="O41" s="283"/>
      <c r="P41" s="283"/>
    </row>
    <row r="42" spans="1:32" x14ac:dyDescent="0.2">
      <c r="A42" s="182"/>
      <c r="B42" s="191" t="s">
        <v>17</v>
      </c>
      <c r="C42" s="337">
        <v>0.43580000000000002</v>
      </c>
      <c r="D42" s="338">
        <v>0.50390000000000001</v>
      </c>
      <c r="E42" s="192"/>
      <c r="F42" s="197"/>
      <c r="G42" s="283"/>
      <c r="H42" s="283"/>
      <c r="I42" s="283"/>
      <c r="J42" s="283"/>
      <c r="K42" s="283"/>
      <c r="L42" s="283"/>
      <c r="M42" s="283"/>
      <c r="N42" s="283"/>
      <c r="O42" s="283"/>
      <c r="P42" s="283"/>
    </row>
    <row r="43" spans="1:32" x14ac:dyDescent="0.2">
      <c r="A43" s="182"/>
      <c r="B43" s="191" t="s">
        <v>18</v>
      </c>
      <c r="C43" s="337">
        <v>0.43120000000000003</v>
      </c>
      <c r="D43" s="338">
        <v>0.49109999999999998</v>
      </c>
      <c r="E43" s="192"/>
      <c r="F43" s="197"/>
      <c r="G43" s="283"/>
      <c r="H43" s="283"/>
      <c r="I43" s="283"/>
      <c r="J43" s="283"/>
      <c r="K43" s="283"/>
      <c r="L43" s="283"/>
      <c r="M43" s="283"/>
      <c r="N43" s="283"/>
      <c r="O43" s="283"/>
      <c r="P43" s="283"/>
    </row>
    <row r="44" spans="1:32" x14ac:dyDescent="0.2">
      <c r="A44" s="182"/>
      <c r="B44" s="194"/>
      <c r="C44" s="193"/>
      <c r="D44" s="193"/>
      <c r="E44" s="193"/>
      <c r="F44" s="193"/>
      <c r="G44" s="193"/>
      <c r="H44" s="193"/>
      <c r="I44" s="196"/>
      <c r="J44" s="196"/>
      <c r="K44" s="193"/>
      <c r="L44" s="193"/>
      <c r="M44" s="193"/>
      <c r="N44" s="197"/>
      <c r="O44" s="283"/>
      <c r="P44" s="283"/>
      <c r="Q44" s="283"/>
      <c r="R44" s="283"/>
      <c r="S44" s="283"/>
      <c r="T44" s="283"/>
      <c r="U44" s="283"/>
      <c r="V44" s="283"/>
      <c r="W44" s="283"/>
      <c r="X44" s="283"/>
    </row>
    <row r="45" spans="1:32" x14ac:dyDescent="0.2">
      <c r="A45" s="182"/>
      <c r="B45" s="194"/>
      <c r="C45" s="193"/>
      <c r="D45" s="193"/>
      <c r="E45" s="193"/>
      <c r="F45" s="193"/>
      <c r="G45" s="193"/>
      <c r="H45" s="193"/>
      <c r="I45" s="196"/>
      <c r="J45" s="196"/>
      <c r="K45" s="193"/>
      <c r="L45" s="193"/>
      <c r="M45" s="193"/>
      <c r="N45" s="197"/>
      <c r="O45" s="283"/>
      <c r="P45" s="283"/>
      <c r="Q45" s="283"/>
      <c r="R45" s="283"/>
      <c r="S45" s="283"/>
      <c r="T45" s="283"/>
      <c r="U45" s="283"/>
      <c r="V45" s="283"/>
      <c r="W45" s="283"/>
      <c r="X45" s="283"/>
    </row>
    <row r="46" spans="1:32" x14ac:dyDescent="0.2">
      <c r="A46" s="180" t="s">
        <v>75</v>
      </c>
      <c r="B46" s="198" t="s">
        <v>132</v>
      </c>
      <c r="C46" s="176"/>
      <c r="D46" s="176"/>
      <c r="E46" s="176"/>
      <c r="F46" s="176"/>
      <c r="G46" s="176"/>
      <c r="H46" s="176"/>
      <c r="I46" s="176"/>
      <c r="J46" s="176"/>
      <c r="K46" s="176"/>
      <c r="L46" s="176"/>
      <c r="O46" s="178"/>
    </row>
    <row r="47" spans="1:32" x14ac:dyDescent="0.2">
      <c r="A47" s="182"/>
      <c r="B47" s="199" t="s">
        <v>388</v>
      </c>
      <c r="G47" s="200"/>
      <c r="L47" s="176"/>
      <c r="AB47" s="201"/>
    </row>
    <row r="48" spans="1:32" x14ac:dyDescent="0.2">
      <c r="A48" s="182"/>
      <c r="B48" s="184" t="s">
        <v>78</v>
      </c>
      <c r="C48" s="187" t="s">
        <v>0</v>
      </c>
      <c r="D48" s="187" t="s">
        <v>1</v>
      </c>
      <c r="E48" s="187" t="s">
        <v>2</v>
      </c>
      <c r="F48" s="187" t="s">
        <v>3</v>
      </c>
      <c r="G48" s="187" t="s">
        <v>4</v>
      </c>
      <c r="H48" s="187" t="s">
        <v>6</v>
      </c>
      <c r="I48" s="187" t="s">
        <v>37</v>
      </c>
      <c r="J48" s="187" t="s">
        <v>38</v>
      </c>
      <c r="K48" s="187" t="s">
        <v>5</v>
      </c>
      <c r="L48" s="187" t="s">
        <v>36</v>
      </c>
      <c r="O48" s="176"/>
      <c r="P48" s="176"/>
      <c r="Q48" s="176"/>
      <c r="R48" s="176"/>
      <c r="S48" s="176"/>
      <c r="T48" s="176"/>
      <c r="U48" s="176"/>
      <c r="V48" s="176"/>
      <c r="W48" s="176"/>
      <c r="X48" s="176"/>
      <c r="Y48" s="176"/>
      <c r="Z48" s="176"/>
      <c r="AB48" s="201"/>
      <c r="AF48" s="201"/>
    </row>
    <row r="49" spans="1:32" x14ac:dyDescent="0.2">
      <c r="A49" s="182"/>
      <c r="B49" s="190"/>
      <c r="C49" s="187"/>
      <c r="D49" s="187"/>
      <c r="E49" s="187"/>
      <c r="F49" s="187"/>
      <c r="G49" s="187"/>
      <c r="H49" s="187"/>
      <c r="I49" s="187"/>
      <c r="J49" s="187"/>
      <c r="K49" s="187"/>
      <c r="L49" s="187"/>
      <c r="Y49" s="202"/>
      <c r="AB49" s="201"/>
      <c r="AF49" s="201"/>
    </row>
    <row r="50" spans="1:32" x14ac:dyDescent="0.2">
      <c r="A50" s="182"/>
      <c r="B50" s="191" t="s">
        <v>7</v>
      </c>
      <c r="C50" s="339">
        <v>1040918.543126979</v>
      </c>
      <c r="D50" s="339">
        <v>17774.319870945375</v>
      </c>
      <c r="E50" s="339">
        <v>18130.3689766442</v>
      </c>
      <c r="F50" s="339">
        <v>110</v>
      </c>
      <c r="G50" s="339">
        <v>2</v>
      </c>
      <c r="H50" s="339">
        <v>1923.5329230606692</v>
      </c>
      <c r="I50" s="339">
        <v>17199</v>
      </c>
      <c r="J50" s="339">
        <v>31648</v>
      </c>
      <c r="K50" s="339">
        <v>537584.88035118906</v>
      </c>
      <c r="L50" s="339">
        <v>632367.83724201692</v>
      </c>
      <c r="O50" s="204"/>
      <c r="P50" s="205"/>
      <c r="Q50" s="205"/>
      <c r="R50" s="205"/>
      <c r="S50" s="205"/>
      <c r="T50" s="205"/>
      <c r="U50" s="205"/>
      <c r="V50" s="205"/>
      <c r="W50" s="205"/>
      <c r="X50" s="205"/>
      <c r="Y50" s="202"/>
      <c r="Z50" s="206"/>
      <c r="AB50" s="285"/>
      <c r="AF50" s="286"/>
    </row>
    <row r="51" spans="1:32" x14ac:dyDescent="0.2">
      <c r="A51" s="182"/>
      <c r="B51" s="191" t="s">
        <v>8</v>
      </c>
      <c r="C51" s="339">
        <v>878487.1060373889</v>
      </c>
      <c r="D51" s="339">
        <v>14659.173703446282</v>
      </c>
      <c r="E51" s="339">
        <v>14871.040196921753</v>
      </c>
      <c r="F51" s="339">
        <v>107</v>
      </c>
      <c r="G51" s="339">
        <v>2</v>
      </c>
      <c r="H51" s="339">
        <v>1802.4533953144396</v>
      </c>
      <c r="I51" s="339">
        <v>13165</v>
      </c>
      <c r="J51" s="339">
        <v>28407</v>
      </c>
      <c r="K51" s="339">
        <v>508655.61740574852</v>
      </c>
      <c r="L51" s="339">
        <v>589248.39564468793</v>
      </c>
      <c r="O51" s="205"/>
      <c r="P51" s="205"/>
      <c r="Q51" s="205"/>
      <c r="R51" s="205"/>
      <c r="X51" s="205"/>
      <c r="Y51" s="202"/>
      <c r="Z51" s="206"/>
      <c r="AB51" s="285"/>
      <c r="AD51" s="287"/>
    </row>
    <row r="52" spans="1:32" x14ac:dyDescent="0.2">
      <c r="A52" s="182"/>
      <c r="B52" s="191" t="s">
        <v>9</v>
      </c>
      <c r="C52" s="339">
        <v>859759.7813358038</v>
      </c>
      <c r="D52" s="339">
        <v>12823.189214677621</v>
      </c>
      <c r="E52" s="339">
        <v>15221.798891335045</v>
      </c>
      <c r="F52" s="339">
        <v>104</v>
      </c>
      <c r="G52" s="339">
        <v>2</v>
      </c>
      <c r="H52" s="339">
        <v>1562.8704999867939</v>
      </c>
      <c r="I52" s="339">
        <v>14162</v>
      </c>
      <c r="J52" s="339">
        <v>24439</v>
      </c>
      <c r="K52" s="339">
        <v>532182.31511958165</v>
      </c>
      <c r="L52" s="339">
        <v>612875.96924038162</v>
      </c>
      <c r="M52" s="207"/>
      <c r="N52" s="208"/>
      <c r="O52" s="205"/>
      <c r="P52" s="205"/>
      <c r="Q52" s="205"/>
      <c r="R52" s="205"/>
      <c r="X52" s="205"/>
      <c r="Y52" s="202"/>
      <c r="Z52" s="209"/>
      <c r="AB52" s="285"/>
    </row>
    <row r="53" spans="1:32" x14ac:dyDescent="0.2">
      <c r="A53" s="182"/>
      <c r="B53" s="191" t="s">
        <v>10</v>
      </c>
      <c r="C53" s="339">
        <v>706802.15620713064</v>
      </c>
      <c r="D53" s="339">
        <v>7599.3875947313545</v>
      </c>
      <c r="E53" s="339">
        <v>11546.825760592019</v>
      </c>
      <c r="F53" s="339">
        <v>89</v>
      </c>
      <c r="G53" s="339">
        <v>3</v>
      </c>
      <c r="H53" s="339">
        <v>752.2387681255118</v>
      </c>
      <c r="I53" s="339">
        <v>11664</v>
      </c>
      <c r="J53" s="339">
        <v>21743</v>
      </c>
      <c r="K53" s="339">
        <v>467643.05810583342</v>
      </c>
      <c r="L53" s="339">
        <v>536868.44221503823</v>
      </c>
      <c r="M53" s="207"/>
      <c r="Y53" s="202"/>
      <c r="AB53" s="285"/>
    </row>
    <row r="54" spans="1:32" x14ac:dyDescent="0.2">
      <c r="A54" s="182"/>
      <c r="B54" s="191" t="s">
        <v>11</v>
      </c>
      <c r="C54" s="339">
        <v>795745.36628451792</v>
      </c>
      <c r="D54" s="339">
        <v>5339.5671869817061</v>
      </c>
      <c r="E54" s="339">
        <v>13747.295854230371</v>
      </c>
      <c r="F54" s="339">
        <v>101</v>
      </c>
      <c r="G54" s="339">
        <v>1</v>
      </c>
      <c r="H54" s="339">
        <v>416.47922664483241</v>
      </c>
      <c r="I54" s="339">
        <v>10502</v>
      </c>
      <c r="J54" s="339">
        <v>25431</v>
      </c>
      <c r="K54" s="339">
        <v>489759.22586215829</v>
      </c>
      <c r="L54" s="339">
        <v>623872.13427960488</v>
      </c>
      <c r="N54" s="208"/>
      <c r="O54" s="204"/>
      <c r="P54" s="205"/>
      <c r="Q54" s="205"/>
      <c r="R54" s="205"/>
      <c r="S54" s="205"/>
      <c r="T54" s="205"/>
      <c r="U54" s="205"/>
      <c r="V54" s="205"/>
      <c r="W54" s="205"/>
      <c r="X54" s="205"/>
      <c r="Y54" s="202"/>
      <c r="Z54" s="209"/>
      <c r="AB54" s="285"/>
    </row>
    <row r="55" spans="1:32" x14ac:dyDescent="0.2">
      <c r="A55" s="182"/>
      <c r="B55" s="191" t="s">
        <v>12</v>
      </c>
      <c r="C55" s="339">
        <v>1234300.6024262116</v>
      </c>
      <c r="D55" s="339">
        <v>6871.3082846985508</v>
      </c>
      <c r="E55" s="339">
        <v>21648.300010960898</v>
      </c>
      <c r="F55" s="339">
        <v>89</v>
      </c>
      <c r="G55" s="339">
        <v>2</v>
      </c>
      <c r="H55" s="339">
        <v>650.0510815879137</v>
      </c>
      <c r="I55" s="339">
        <v>9790</v>
      </c>
      <c r="J55" s="339">
        <v>18792</v>
      </c>
      <c r="K55" s="339">
        <v>574867.69636104361</v>
      </c>
      <c r="L55" s="339">
        <v>638373.51030316646</v>
      </c>
      <c r="M55" s="207"/>
      <c r="N55" s="208"/>
      <c r="O55" s="204"/>
      <c r="Q55" s="205"/>
      <c r="X55" s="205"/>
      <c r="Y55" s="202"/>
      <c r="Z55" s="206"/>
      <c r="AB55" s="285"/>
    </row>
    <row r="56" spans="1:32" x14ac:dyDescent="0.2">
      <c r="A56" s="182"/>
      <c r="B56" s="191" t="s">
        <v>13</v>
      </c>
      <c r="C56" s="339">
        <v>1594245.8910574703</v>
      </c>
      <c r="D56" s="339">
        <v>7582.1662707095538</v>
      </c>
      <c r="E56" s="339">
        <v>27132.548552028791</v>
      </c>
      <c r="F56" s="339">
        <v>73</v>
      </c>
      <c r="G56" s="339">
        <v>1</v>
      </c>
      <c r="H56" s="339">
        <v>745.36900768600935</v>
      </c>
      <c r="I56" s="339">
        <v>9988</v>
      </c>
      <c r="J56" s="339">
        <v>15816</v>
      </c>
      <c r="K56" s="339">
        <v>644389.68902204023</v>
      </c>
      <c r="L56" s="339">
        <v>726977.88930347539</v>
      </c>
      <c r="M56" s="207"/>
      <c r="N56" s="208"/>
      <c r="O56" s="204"/>
      <c r="Q56" s="205"/>
      <c r="X56" s="205"/>
      <c r="Y56" s="202"/>
      <c r="Z56" s="209"/>
      <c r="AB56" s="285"/>
    </row>
    <row r="57" spans="1:32" x14ac:dyDescent="0.2">
      <c r="A57" s="182"/>
      <c r="B57" s="191" t="s">
        <v>14</v>
      </c>
      <c r="C57" s="339">
        <v>1478831.7914122394</v>
      </c>
      <c r="D57" s="339">
        <v>7078.9209131835951</v>
      </c>
      <c r="E57" s="339">
        <v>26246.718283564122</v>
      </c>
      <c r="F57" s="339">
        <v>69</v>
      </c>
      <c r="G57" s="339">
        <v>1</v>
      </c>
      <c r="H57" s="339">
        <v>715.31380576318645</v>
      </c>
      <c r="I57" s="339">
        <v>11339</v>
      </c>
      <c r="J57" s="339">
        <v>22714</v>
      </c>
      <c r="K57" s="339">
        <v>640905.18467680831</v>
      </c>
      <c r="L57" s="339">
        <v>717601.97152914805</v>
      </c>
      <c r="M57" s="207"/>
      <c r="AB57" s="285"/>
    </row>
    <row r="58" spans="1:32" x14ac:dyDescent="0.2">
      <c r="A58" s="182"/>
      <c r="B58" s="191" t="s">
        <v>15</v>
      </c>
      <c r="C58" s="339">
        <v>1038459.3230760464</v>
      </c>
      <c r="D58" s="339">
        <v>5534.7421925621156</v>
      </c>
      <c r="E58" s="339">
        <v>18787.688889231042</v>
      </c>
      <c r="F58" s="339">
        <v>66</v>
      </c>
      <c r="G58" s="339">
        <v>1</v>
      </c>
      <c r="H58" s="339">
        <v>607.11507884102377</v>
      </c>
      <c r="I58" s="339">
        <v>11966</v>
      </c>
      <c r="J58" s="339">
        <v>21369</v>
      </c>
      <c r="K58" s="339">
        <v>538531.73005208408</v>
      </c>
      <c r="L58" s="339">
        <v>601579.22714316356</v>
      </c>
      <c r="M58" s="207"/>
      <c r="N58" s="208"/>
      <c r="O58" s="204"/>
      <c r="P58" s="204"/>
      <c r="AB58" s="285"/>
    </row>
    <row r="59" spans="1:32" x14ac:dyDescent="0.2">
      <c r="A59" s="182"/>
      <c r="B59" s="191" t="s">
        <v>16</v>
      </c>
      <c r="C59" s="339">
        <v>797805.58946444187</v>
      </c>
      <c r="D59" s="339">
        <v>6811.9903908456808</v>
      </c>
      <c r="E59" s="339">
        <v>13833.810063040084</v>
      </c>
      <c r="F59" s="339">
        <v>84</v>
      </c>
      <c r="G59" s="339">
        <v>1</v>
      </c>
      <c r="H59" s="339">
        <v>803.76197142177966</v>
      </c>
      <c r="I59" s="339">
        <v>14720</v>
      </c>
      <c r="J59" s="339">
        <v>24732</v>
      </c>
      <c r="K59" s="339">
        <v>512664.7057190577</v>
      </c>
      <c r="L59" s="339">
        <v>625049.01408368419</v>
      </c>
      <c r="M59" s="207"/>
      <c r="N59" s="208"/>
      <c r="O59" s="205"/>
      <c r="P59" s="205"/>
      <c r="AB59" s="285"/>
    </row>
    <row r="60" spans="1:32" x14ac:dyDescent="0.2">
      <c r="A60" s="182"/>
      <c r="B60" s="191" t="s">
        <v>17</v>
      </c>
      <c r="C60" s="339">
        <v>763541.96953912545</v>
      </c>
      <c r="D60" s="339">
        <v>8812.5341980448829</v>
      </c>
      <c r="E60" s="339">
        <v>12217.310878867294</v>
      </c>
      <c r="F60" s="339">
        <v>80</v>
      </c>
      <c r="G60" s="339">
        <v>1</v>
      </c>
      <c r="H60" s="339">
        <v>936.00485988220066</v>
      </c>
      <c r="I60" s="339">
        <v>14692</v>
      </c>
      <c r="J60" s="339">
        <v>28357</v>
      </c>
      <c r="K60" s="339">
        <v>454374.98155101086</v>
      </c>
      <c r="L60" s="339">
        <v>560729.43573863234</v>
      </c>
      <c r="M60" s="207"/>
      <c r="AB60" s="285"/>
    </row>
    <row r="61" spans="1:32" x14ac:dyDescent="0.2">
      <c r="A61" s="182"/>
      <c r="B61" s="191" t="s">
        <v>18</v>
      </c>
      <c r="C61" s="339">
        <v>986147.24042398902</v>
      </c>
      <c r="D61" s="339">
        <v>13280.511041478778</v>
      </c>
      <c r="E61" s="339">
        <v>15677.879231255814</v>
      </c>
      <c r="F61" s="339">
        <v>88</v>
      </c>
      <c r="G61" s="339">
        <v>2</v>
      </c>
      <c r="H61" s="339">
        <v>1453.8130530096932</v>
      </c>
      <c r="I61" s="339">
        <v>16661</v>
      </c>
      <c r="J61" s="339">
        <v>31646</v>
      </c>
      <c r="K61" s="339">
        <v>521804.32268610148</v>
      </c>
      <c r="L61" s="339">
        <v>619701.22009306995</v>
      </c>
      <c r="M61" s="207"/>
      <c r="AB61" s="285"/>
    </row>
    <row r="62" spans="1:32" x14ac:dyDescent="0.2">
      <c r="A62" s="182"/>
      <c r="B62" s="210"/>
      <c r="C62" s="205"/>
      <c r="D62" s="205"/>
      <c r="E62" s="205"/>
      <c r="F62" s="205"/>
      <c r="G62" s="205"/>
      <c r="H62" s="205"/>
      <c r="I62" s="205"/>
      <c r="J62" s="205"/>
      <c r="K62" s="205"/>
      <c r="L62" s="205"/>
      <c r="M62" s="205"/>
      <c r="O62" s="178"/>
      <c r="AB62" s="205"/>
    </row>
    <row r="63" spans="1:32" x14ac:dyDescent="0.2">
      <c r="A63" s="182"/>
      <c r="B63" s="194"/>
      <c r="I63" s="211"/>
      <c r="J63" s="211"/>
      <c r="O63" s="179"/>
      <c r="AB63" s="212"/>
    </row>
    <row r="64" spans="1:32" x14ac:dyDescent="0.2">
      <c r="A64" s="182"/>
      <c r="B64" s="178" t="s">
        <v>307</v>
      </c>
      <c r="C64" s="284" t="s">
        <v>196</v>
      </c>
      <c r="D64" s="284" t="s">
        <v>196</v>
      </c>
      <c r="L64" s="205"/>
      <c r="Y64" s="176"/>
      <c r="Z64" s="176"/>
      <c r="AB64" s="212"/>
    </row>
    <row r="65" spans="1:26" x14ac:dyDescent="0.2">
      <c r="A65" s="182"/>
      <c r="B65" s="237"/>
      <c r="C65" s="203" t="s">
        <v>195</v>
      </c>
      <c r="D65" s="203" t="s">
        <v>197</v>
      </c>
      <c r="E65" s="296"/>
      <c r="F65" s="296"/>
      <c r="G65" s="296"/>
      <c r="H65" s="296"/>
      <c r="I65" s="296"/>
      <c r="J65" s="296"/>
    </row>
    <row r="66" spans="1:26" x14ac:dyDescent="0.2">
      <c r="A66" s="182"/>
      <c r="C66" s="340">
        <v>0.37315579678587202</v>
      </c>
      <c r="D66" s="340">
        <v>0.34482849586820458</v>
      </c>
      <c r="E66" s="296"/>
      <c r="F66" s="296"/>
      <c r="G66" s="296"/>
      <c r="H66" s="296"/>
      <c r="I66" s="296"/>
      <c r="J66" s="296"/>
    </row>
    <row r="67" spans="1:26" x14ac:dyDescent="0.2">
      <c r="A67" s="182"/>
      <c r="C67" s="296"/>
      <c r="D67" s="296"/>
      <c r="E67" s="296"/>
      <c r="F67" s="296"/>
      <c r="G67" s="296"/>
      <c r="H67" s="296"/>
      <c r="I67" s="296"/>
      <c r="J67" s="296"/>
      <c r="K67" s="296"/>
    </row>
    <row r="68" spans="1:26" x14ac:dyDescent="0.2">
      <c r="A68" s="182"/>
      <c r="C68" s="296"/>
      <c r="D68" s="296"/>
      <c r="E68" s="296"/>
      <c r="F68" s="296"/>
      <c r="G68" s="296"/>
      <c r="H68" s="296"/>
      <c r="I68" s="296"/>
      <c r="J68" s="296"/>
      <c r="K68" s="296"/>
    </row>
    <row r="69" spans="1:26" x14ac:dyDescent="0.2">
      <c r="A69" s="182"/>
      <c r="B69" s="178"/>
    </row>
    <row r="70" spans="1:26" x14ac:dyDescent="0.2">
      <c r="A70" s="180" t="s">
        <v>76</v>
      </c>
      <c r="B70" s="178" t="s">
        <v>39</v>
      </c>
      <c r="E70" s="213" t="s">
        <v>66</v>
      </c>
      <c r="F70" s="178" t="s">
        <v>179</v>
      </c>
      <c r="N70" s="201"/>
    </row>
    <row r="71" spans="1:26" s="214" customFormat="1" x14ac:dyDescent="0.2">
      <c r="A71" s="182"/>
      <c r="B71" s="179" t="s">
        <v>234</v>
      </c>
      <c r="F71" s="176" t="s">
        <v>178</v>
      </c>
      <c r="G71" s="230"/>
      <c r="N71" s="208"/>
      <c r="O71" s="204"/>
      <c r="P71" s="204"/>
      <c r="Q71" s="204"/>
      <c r="R71" s="204"/>
      <c r="S71" s="204"/>
      <c r="T71" s="204"/>
      <c r="U71" s="204"/>
      <c r="V71" s="204"/>
      <c r="W71" s="204"/>
      <c r="X71" s="204"/>
      <c r="Y71" s="202"/>
      <c r="Z71" s="206"/>
    </row>
    <row r="72" spans="1:26" x14ac:dyDescent="0.2">
      <c r="A72" s="182"/>
      <c r="C72" s="176" t="s">
        <v>20</v>
      </c>
      <c r="F72" s="176" t="s">
        <v>176</v>
      </c>
      <c r="N72" s="208"/>
      <c r="O72" s="205"/>
      <c r="P72" s="205"/>
      <c r="Q72" s="205"/>
      <c r="R72" s="205"/>
      <c r="S72" s="205"/>
      <c r="T72" s="205"/>
      <c r="U72" s="205"/>
      <c r="V72" s="205"/>
      <c r="W72" s="205"/>
      <c r="X72" s="205"/>
      <c r="Y72" s="202"/>
      <c r="Z72" s="209"/>
    </row>
    <row r="73" spans="1:26" x14ac:dyDescent="0.2">
      <c r="A73" s="182"/>
      <c r="B73" s="191" t="s">
        <v>7</v>
      </c>
      <c r="C73" s="341">
        <v>48.23</v>
      </c>
      <c r="E73" s="328" t="s">
        <v>53</v>
      </c>
      <c r="F73" s="329">
        <v>0.64759218661486828</v>
      </c>
      <c r="K73" s="215"/>
      <c r="Y73" s="202"/>
    </row>
    <row r="74" spans="1:26" x14ac:dyDescent="0.2">
      <c r="A74" s="182"/>
      <c r="B74" s="191" t="s">
        <v>8</v>
      </c>
      <c r="C74" s="341">
        <v>46.02</v>
      </c>
      <c r="D74" s="289"/>
      <c r="E74" s="328" t="s">
        <v>54</v>
      </c>
      <c r="F74" s="329">
        <v>0.74945337279191615</v>
      </c>
      <c r="K74" s="215"/>
      <c r="N74" s="201"/>
      <c r="Y74" s="202"/>
    </row>
    <row r="75" spans="1:26" x14ac:dyDescent="0.2">
      <c r="A75" s="182"/>
      <c r="B75" s="191" t="s">
        <v>9</v>
      </c>
      <c r="C75" s="341">
        <v>36.97</v>
      </c>
      <c r="D75" s="289"/>
      <c r="E75" s="288"/>
      <c r="H75" s="290"/>
      <c r="I75" s="290"/>
      <c r="J75" s="215"/>
      <c r="N75" s="208"/>
      <c r="O75" s="204"/>
      <c r="P75" s="204"/>
      <c r="Q75" s="204"/>
      <c r="R75" s="204"/>
      <c r="S75" s="204"/>
      <c r="T75" s="204"/>
      <c r="U75" s="204"/>
      <c r="V75" s="204"/>
      <c r="W75" s="204"/>
      <c r="X75" s="204"/>
      <c r="Y75" s="202"/>
      <c r="Z75" s="206"/>
    </row>
    <row r="76" spans="1:26" x14ac:dyDescent="0.2">
      <c r="A76" s="182"/>
      <c r="B76" s="191" t="s">
        <v>10</v>
      </c>
      <c r="C76" s="341">
        <v>32.630000000000003</v>
      </c>
      <c r="D76" s="289"/>
      <c r="E76" s="288"/>
      <c r="H76" s="290"/>
      <c r="I76" s="290"/>
      <c r="J76" s="215"/>
      <c r="N76" s="208"/>
      <c r="O76" s="205"/>
      <c r="P76" s="205"/>
      <c r="Q76" s="205"/>
      <c r="R76" s="205"/>
      <c r="S76" s="205"/>
      <c r="T76" s="205"/>
      <c r="U76" s="205"/>
      <c r="V76" s="205"/>
      <c r="W76" s="205"/>
      <c r="X76" s="205"/>
      <c r="Y76" s="202"/>
      <c r="Z76" s="209"/>
    </row>
    <row r="77" spans="1:26" x14ac:dyDescent="0.2">
      <c r="A77" s="182"/>
      <c r="B77" s="191" t="s">
        <v>11</v>
      </c>
      <c r="C77" s="341">
        <v>32</v>
      </c>
      <c r="D77" s="289"/>
      <c r="E77" s="288"/>
      <c r="H77" s="290"/>
      <c r="I77" s="290"/>
      <c r="Y77" s="202"/>
    </row>
    <row r="78" spans="1:26" x14ac:dyDescent="0.2">
      <c r="A78" s="182"/>
      <c r="B78" s="191" t="s">
        <v>12</v>
      </c>
      <c r="C78" s="341">
        <v>34.36</v>
      </c>
      <c r="F78" s="357" t="s">
        <v>362</v>
      </c>
      <c r="G78" s="358"/>
      <c r="N78" s="208"/>
      <c r="O78" s="205"/>
      <c r="P78" s="205"/>
      <c r="Q78" s="205"/>
      <c r="R78" s="205"/>
      <c r="S78" s="205"/>
      <c r="T78" s="205"/>
      <c r="U78" s="205"/>
      <c r="V78" s="205"/>
      <c r="W78" s="205"/>
      <c r="X78" s="205"/>
      <c r="Y78" s="202"/>
      <c r="Z78" s="206"/>
    </row>
    <row r="79" spans="1:26" x14ac:dyDescent="0.2">
      <c r="A79" s="182"/>
      <c r="B79" s="191" t="s">
        <v>13</v>
      </c>
      <c r="C79" s="341">
        <v>38.950000000000003</v>
      </c>
      <c r="D79" s="216"/>
      <c r="E79" s="187"/>
      <c r="F79" s="187" t="s">
        <v>20</v>
      </c>
      <c r="G79" s="187" t="s">
        <v>21</v>
      </c>
      <c r="H79" s="217"/>
      <c r="I79" s="217"/>
      <c r="N79" s="208"/>
      <c r="O79" s="205"/>
      <c r="P79" s="205"/>
      <c r="Q79" s="205"/>
      <c r="R79" s="205"/>
      <c r="S79" s="205"/>
      <c r="T79" s="205"/>
      <c r="U79" s="205"/>
      <c r="V79" s="205"/>
      <c r="W79" s="205"/>
      <c r="X79" s="205"/>
      <c r="Y79" s="202"/>
      <c r="Z79" s="209"/>
    </row>
    <row r="80" spans="1:26" x14ac:dyDescent="0.2">
      <c r="A80" s="182"/>
      <c r="B80" s="191" t="s">
        <v>14</v>
      </c>
      <c r="C80" s="341">
        <v>36</v>
      </c>
      <c r="D80" s="216"/>
      <c r="E80" s="328" t="s">
        <v>53</v>
      </c>
      <c r="F80" s="330">
        <v>0.93443637421483516</v>
      </c>
      <c r="G80" s="330">
        <v>0.86826091477797551</v>
      </c>
      <c r="H80" s="217"/>
      <c r="I80" s="217"/>
    </row>
    <row r="81" spans="1:21" x14ac:dyDescent="0.2">
      <c r="A81" s="182"/>
      <c r="B81" s="191" t="s">
        <v>15</v>
      </c>
      <c r="C81" s="341">
        <v>34.44</v>
      </c>
      <c r="D81" s="216"/>
      <c r="E81" s="328" t="s">
        <v>54</v>
      </c>
      <c r="F81" s="330">
        <v>0.98085862775435639</v>
      </c>
      <c r="G81" s="330">
        <v>0.96397847917778534</v>
      </c>
      <c r="H81" s="217"/>
      <c r="I81" s="217"/>
    </row>
    <row r="82" spans="1:21" x14ac:dyDescent="0.2">
      <c r="A82" s="182"/>
      <c r="B82" s="191" t="s">
        <v>16</v>
      </c>
      <c r="C82" s="341">
        <v>32.42</v>
      </c>
      <c r="D82" s="216"/>
      <c r="E82" s="288"/>
      <c r="H82" s="290"/>
      <c r="I82" s="290"/>
    </row>
    <row r="83" spans="1:21" x14ac:dyDescent="0.2">
      <c r="A83" s="182"/>
      <c r="B83" s="191" t="s">
        <v>17</v>
      </c>
      <c r="C83" s="341">
        <v>32.43</v>
      </c>
      <c r="D83" s="289"/>
      <c r="E83" s="288"/>
      <c r="H83" s="290"/>
      <c r="I83" s="290"/>
    </row>
    <row r="84" spans="1:21" x14ac:dyDescent="0.2">
      <c r="A84" s="182"/>
      <c r="B84" s="191" t="s">
        <v>18</v>
      </c>
      <c r="C84" s="341">
        <v>36.58</v>
      </c>
      <c r="D84" s="289"/>
      <c r="E84" s="288"/>
      <c r="H84" s="290"/>
      <c r="I84" s="290"/>
    </row>
    <row r="85" spans="1:21" x14ac:dyDescent="0.2">
      <c r="A85" s="182"/>
      <c r="B85" s="194"/>
      <c r="C85" s="218"/>
      <c r="D85" s="218"/>
      <c r="G85" s="219"/>
      <c r="K85" s="219"/>
    </row>
    <row r="86" spans="1:21" x14ac:dyDescent="0.2">
      <c r="A86" s="182"/>
      <c r="B86" s="220"/>
      <c r="C86" s="220"/>
      <c r="D86" s="218"/>
      <c r="G86" s="219"/>
      <c r="K86" s="219"/>
    </row>
    <row r="87" spans="1:21" x14ac:dyDescent="0.2">
      <c r="A87" s="182"/>
      <c r="E87" s="223"/>
      <c r="F87" s="223"/>
      <c r="G87" s="223"/>
      <c r="H87" s="223"/>
      <c r="I87" s="223"/>
      <c r="J87" s="223"/>
      <c r="K87" s="223"/>
      <c r="L87" s="223"/>
      <c r="M87" s="223"/>
    </row>
    <row r="88" spans="1:21" x14ac:dyDescent="0.2">
      <c r="A88" s="180" t="s">
        <v>67</v>
      </c>
      <c r="B88" s="190" t="s">
        <v>300</v>
      </c>
      <c r="C88" s="190" t="s">
        <v>301</v>
      </c>
      <c r="D88" s="190" t="s">
        <v>299</v>
      </c>
      <c r="E88" s="223"/>
      <c r="F88" s="223"/>
      <c r="G88" s="223"/>
      <c r="H88" s="223"/>
      <c r="I88" s="223"/>
      <c r="J88" s="223"/>
      <c r="K88" s="223"/>
      <c r="L88" s="223"/>
      <c r="M88" s="223"/>
    </row>
    <row r="89" spans="1:21" x14ac:dyDescent="0.2">
      <c r="A89" s="182"/>
      <c r="B89" s="190" t="s">
        <v>297</v>
      </c>
      <c r="C89" s="342">
        <v>7.5377E-2</v>
      </c>
      <c r="D89" s="190" t="s">
        <v>302</v>
      </c>
      <c r="E89" s="291"/>
      <c r="F89" s="291"/>
      <c r="G89" s="291"/>
      <c r="H89" s="291"/>
      <c r="I89" s="291"/>
      <c r="J89" s="291"/>
      <c r="K89" s="291"/>
      <c r="L89" s="291"/>
      <c r="M89" s="223"/>
    </row>
    <row r="90" spans="1:21" x14ac:dyDescent="0.2">
      <c r="A90" s="182"/>
      <c r="B90" s="190" t="s">
        <v>298</v>
      </c>
      <c r="C90" s="337">
        <v>4.5599999999999998E-3</v>
      </c>
      <c r="D90" s="190" t="s">
        <v>303</v>
      </c>
      <c r="E90" s="222"/>
      <c r="F90" s="222"/>
      <c r="G90" s="222"/>
      <c r="H90" s="222"/>
      <c r="I90" s="222"/>
      <c r="J90" s="222"/>
      <c r="K90" s="222"/>
      <c r="L90" s="222"/>
      <c r="M90" s="223"/>
    </row>
    <row r="91" spans="1:21" x14ac:dyDescent="0.2">
      <c r="A91" s="182"/>
      <c r="B91" s="190" t="s">
        <v>305</v>
      </c>
      <c r="C91" s="322">
        <v>1.07687434555201E-2</v>
      </c>
      <c r="D91" s="190" t="s">
        <v>304</v>
      </c>
      <c r="E91" s="222"/>
      <c r="F91" s="222"/>
      <c r="G91" s="222"/>
      <c r="H91" s="222"/>
      <c r="I91" s="222"/>
      <c r="J91" s="222"/>
      <c r="K91" s="222"/>
      <c r="L91" s="222"/>
      <c r="M91" s="223"/>
    </row>
    <row r="92" spans="1:21" x14ac:dyDescent="0.2">
      <c r="A92" s="182"/>
      <c r="C92" s="224"/>
      <c r="D92" s="223"/>
      <c r="E92" s="223"/>
      <c r="F92" s="223"/>
      <c r="G92" s="223"/>
      <c r="H92" s="223"/>
      <c r="I92" s="223"/>
      <c r="J92" s="223"/>
      <c r="K92" s="223"/>
      <c r="L92" s="223"/>
      <c r="M92" s="223"/>
    </row>
    <row r="93" spans="1:21" x14ac:dyDescent="0.2">
      <c r="A93" s="182"/>
    </row>
    <row r="94" spans="1:21" x14ac:dyDescent="0.2">
      <c r="A94" s="182"/>
      <c r="T94" s="205"/>
      <c r="U94" s="205"/>
    </row>
    <row r="95" spans="1:21" x14ac:dyDescent="0.2">
      <c r="A95" s="182"/>
      <c r="T95" s="205"/>
      <c r="U95" s="205"/>
    </row>
    <row r="96" spans="1:21" x14ac:dyDescent="0.2">
      <c r="A96" s="180" t="s">
        <v>71</v>
      </c>
      <c r="B96" s="178" t="s">
        <v>159</v>
      </c>
      <c r="L96" s="176"/>
      <c r="T96" s="205"/>
      <c r="U96" s="205"/>
    </row>
    <row r="97" spans="1:22" x14ac:dyDescent="0.2">
      <c r="A97" s="182"/>
      <c r="B97" s="179" t="s">
        <v>381</v>
      </c>
      <c r="L97" s="176"/>
      <c r="T97" s="205"/>
      <c r="U97" s="205"/>
    </row>
    <row r="98" spans="1:22" x14ac:dyDescent="0.2">
      <c r="A98" s="182"/>
      <c r="B98" s="179" t="s">
        <v>77</v>
      </c>
      <c r="C98" s="176"/>
      <c r="D98" s="176"/>
      <c r="E98" s="176"/>
      <c r="F98" s="176"/>
      <c r="G98" s="176"/>
      <c r="H98" s="176"/>
      <c r="I98" s="176"/>
      <c r="J98" s="176"/>
      <c r="K98" s="176"/>
      <c r="L98" s="176"/>
      <c r="M98" s="176"/>
      <c r="T98" s="205"/>
      <c r="U98" s="205"/>
    </row>
    <row r="99" spans="1:22" ht="12.75" customHeight="1" x14ac:dyDescent="0.2">
      <c r="A99" s="182"/>
      <c r="B99" s="179"/>
      <c r="C99" s="176"/>
      <c r="D99" s="176"/>
      <c r="E99" s="176"/>
      <c r="F99" s="176"/>
      <c r="G99" s="176"/>
      <c r="H99" s="176"/>
      <c r="I99" s="176"/>
      <c r="J99" s="176"/>
      <c r="K99" s="176"/>
      <c r="M99" s="176"/>
      <c r="R99" s="225"/>
      <c r="S99" s="225"/>
      <c r="T99" s="225"/>
      <c r="U99" s="225"/>
      <c r="V99" s="225"/>
    </row>
    <row r="100" spans="1:22" x14ac:dyDescent="0.2">
      <c r="A100" s="182"/>
      <c r="B100" s="190"/>
      <c r="C100" s="187" t="s">
        <v>0</v>
      </c>
      <c r="D100" s="187" t="s">
        <v>1</v>
      </c>
      <c r="E100" s="187" t="s">
        <v>2</v>
      </c>
      <c r="F100" s="187" t="s">
        <v>3</v>
      </c>
      <c r="G100" s="187" t="s">
        <v>4</v>
      </c>
      <c r="H100" s="187" t="s">
        <v>6</v>
      </c>
      <c r="I100" s="187" t="s">
        <v>37</v>
      </c>
      <c r="J100" s="187" t="s">
        <v>38</v>
      </c>
      <c r="K100" s="187" t="s">
        <v>5</v>
      </c>
      <c r="L100" s="187" t="s">
        <v>36</v>
      </c>
    </row>
    <row r="101" spans="1:22" x14ac:dyDescent="0.2">
      <c r="A101" s="226"/>
      <c r="B101" s="334" t="s">
        <v>310</v>
      </c>
      <c r="C101" s="343">
        <v>3805.8585890907002</v>
      </c>
      <c r="D101" s="343">
        <v>21.793080793547258</v>
      </c>
      <c r="E101" s="343">
        <v>71.974312674933245</v>
      </c>
      <c r="F101" s="343">
        <v>0</v>
      </c>
      <c r="G101" s="343">
        <v>0</v>
      </c>
      <c r="H101" s="343">
        <v>2.7543500891209174</v>
      </c>
      <c r="I101" s="343">
        <v>0</v>
      </c>
      <c r="J101" s="343">
        <v>0</v>
      </c>
      <c r="K101" s="343">
        <v>1745.8618222973591</v>
      </c>
      <c r="L101" s="343">
        <v>1318.1217569554176</v>
      </c>
      <c r="M101" s="227"/>
      <c r="V101" s="228"/>
    </row>
    <row r="102" spans="1:22" x14ac:dyDescent="0.2">
      <c r="A102" s="175"/>
      <c r="B102" s="334" t="s">
        <v>293</v>
      </c>
      <c r="C102" s="343">
        <v>3750.4617613296709</v>
      </c>
      <c r="D102" s="343">
        <v>21.73677102533615</v>
      </c>
      <c r="E102" s="343">
        <v>71.765227093933873</v>
      </c>
      <c r="F102" s="343">
        <v>0</v>
      </c>
      <c r="G102" s="343">
        <v>0</v>
      </c>
      <c r="H102" s="343">
        <v>2.7646388903643895</v>
      </c>
      <c r="I102" s="343">
        <v>0</v>
      </c>
      <c r="J102" s="343">
        <v>0</v>
      </c>
      <c r="K102" s="343">
        <v>1807.2661239351662</v>
      </c>
      <c r="L102" s="343">
        <v>1351.1166865184252</v>
      </c>
      <c r="V102" s="228"/>
    </row>
    <row r="103" spans="1:22" x14ac:dyDescent="0.2">
      <c r="A103" s="226"/>
      <c r="C103" s="292"/>
      <c r="D103" s="292"/>
      <c r="E103" s="292"/>
      <c r="F103" s="292"/>
      <c r="G103" s="292"/>
      <c r="H103" s="292"/>
      <c r="I103" s="292"/>
      <c r="J103" s="292"/>
      <c r="K103" s="292"/>
      <c r="L103" s="292"/>
      <c r="M103" s="227"/>
      <c r="V103" s="228"/>
    </row>
    <row r="104" spans="1:22" x14ac:dyDescent="0.2">
      <c r="A104" s="175"/>
      <c r="B104" s="334" t="s">
        <v>294</v>
      </c>
      <c r="C104" s="344">
        <v>1.0459721343534554</v>
      </c>
      <c r="D104" s="229"/>
      <c r="E104" s="229"/>
      <c r="F104" s="229"/>
      <c r="G104" s="229"/>
      <c r="H104" s="229"/>
      <c r="I104" s="229"/>
      <c r="J104" s="229"/>
      <c r="K104" s="229"/>
      <c r="M104" s="229"/>
      <c r="V104" s="228"/>
    </row>
    <row r="105" spans="1:22" x14ac:dyDescent="0.2">
      <c r="A105" s="182"/>
      <c r="B105" s="280" t="s">
        <v>380</v>
      </c>
      <c r="C105" s="344">
        <v>1.0967</v>
      </c>
      <c r="I105" s="229"/>
      <c r="K105" s="176"/>
      <c r="M105" s="229"/>
    </row>
    <row r="106" spans="1:22" x14ac:dyDescent="0.2">
      <c r="A106" s="182"/>
      <c r="D106" s="208"/>
      <c r="E106" s="293"/>
      <c r="G106" s="208"/>
      <c r="H106" s="230"/>
      <c r="I106" s="229"/>
      <c r="K106" s="176"/>
      <c r="M106" s="229"/>
    </row>
    <row r="107" spans="1:22" x14ac:dyDescent="0.2">
      <c r="A107" s="182"/>
      <c r="B107" s="230" t="s">
        <v>291</v>
      </c>
      <c r="C107" s="190"/>
      <c r="D107" s="280" t="s">
        <v>292</v>
      </c>
      <c r="E107" s="190" t="s">
        <v>291</v>
      </c>
      <c r="G107" s="208"/>
      <c r="H107" s="230"/>
      <c r="I107" s="229"/>
      <c r="K107" s="176"/>
      <c r="M107" s="229"/>
    </row>
    <row r="108" spans="1:22" x14ac:dyDescent="0.2">
      <c r="A108" s="182"/>
      <c r="B108" s="345"/>
      <c r="C108" s="331">
        <v>2016</v>
      </c>
      <c r="D108" s="190">
        <v>28</v>
      </c>
      <c r="E108" s="332">
        <v>82516.44</v>
      </c>
      <c r="G108" s="208"/>
      <c r="H108" s="230"/>
      <c r="I108" s="229"/>
      <c r="K108" s="176"/>
      <c r="M108" s="229"/>
    </row>
    <row r="109" spans="1:22" x14ac:dyDescent="0.2">
      <c r="A109" s="182"/>
      <c r="B109" s="182"/>
      <c r="C109" s="331">
        <v>2017</v>
      </c>
      <c r="D109" s="190">
        <v>28</v>
      </c>
      <c r="E109" s="332">
        <v>91224.18</v>
      </c>
      <c r="G109" s="208"/>
      <c r="H109" s="346"/>
      <c r="J109" s="347"/>
      <c r="K109" s="176"/>
      <c r="M109" s="229"/>
    </row>
    <row r="110" spans="1:22" x14ac:dyDescent="0.2">
      <c r="A110" s="182"/>
      <c r="C110" s="331">
        <v>2018</v>
      </c>
      <c r="D110" s="190">
        <v>29</v>
      </c>
      <c r="E110" s="332">
        <v>101196.71146807222</v>
      </c>
      <c r="G110" s="231"/>
      <c r="H110" s="230"/>
      <c r="I110" s="229"/>
      <c r="K110" s="176"/>
      <c r="M110" s="229"/>
    </row>
    <row r="111" spans="1:22" x14ac:dyDescent="0.2">
      <c r="A111" s="182"/>
      <c r="G111" s="208"/>
      <c r="I111" s="229"/>
      <c r="J111" s="294"/>
      <c r="K111" s="176"/>
      <c r="M111" s="229"/>
    </row>
    <row r="112" spans="1:22" ht="25.5" x14ac:dyDescent="0.2">
      <c r="A112" s="182"/>
      <c r="B112" s="230"/>
      <c r="C112" s="208"/>
      <c r="E112" s="333" t="s">
        <v>316</v>
      </c>
      <c r="F112" s="348"/>
      <c r="I112" s="229"/>
      <c r="J112" s="294"/>
      <c r="K112" s="176"/>
      <c r="M112" s="229"/>
    </row>
    <row r="113" spans="1:18" x14ac:dyDescent="0.2">
      <c r="A113" s="182"/>
      <c r="B113" s="230" t="s">
        <v>102</v>
      </c>
      <c r="C113" s="355" t="s">
        <v>151</v>
      </c>
      <c r="D113" s="355"/>
      <c r="E113" s="269">
        <v>169.73527191124808</v>
      </c>
      <c r="F113" s="270" t="s">
        <v>98</v>
      </c>
      <c r="I113" s="229"/>
      <c r="J113" s="294"/>
      <c r="K113" s="176"/>
      <c r="M113" s="229"/>
    </row>
    <row r="114" spans="1:18" x14ac:dyDescent="0.2">
      <c r="A114" s="182"/>
      <c r="C114" s="355" t="s">
        <v>152</v>
      </c>
      <c r="D114" s="355"/>
      <c r="E114" s="269">
        <v>169.73527191124808</v>
      </c>
      <c r="F114" s="270" t="s">
        <v>98</v>
      </c>
      <c r="P114" s="208"/>
    </row>
    <row r="115" spans="1:18" ht="18" x14ac:dyDescent="0.25">
      <c r="A115" s="182"/>
      <c r="C115" s="356" t="s">
        <v>317</v>
      </c>
      <c r="D115" s="356"/>
      <c r="E115" s="318">
        <v>0</v>
      </c>
      <c r="F115" s="270" t="s">
        <v>98</v>
      </c>
      <c r="G115" s="230"/>
      <c r="H115" s="230"/>
      <c r="I115" s="230"/>
      <c r="O115" s="208"/>
      <c r="P115" s="232"/>
    </row>
    <row r="116" spans="1:18" x14ac:dyDescent="0.2">
      <c r="A116" s="182"/>
      <c r="F116" s="230"/>
      <c r="G116" s="230"/>
      <c r="H116" s="230"/>
      <c r="I116" s="230"/>
      <c r="J116" s="230"/>
      <c r="P116" s="208"/>
      <c r="Q116" s="232"/>
    </row>
    <row r="117" spans="1:18" x14ac:dyDescent="0.2">
      <c r="A117" s="182"/>
      <c r="F117" s="230"/>
      <c r="G117" s="230"/>
      <c r="H117" s="230"/>
      <c r="I117" s="230"/>
      <c r="J117" s="230"/>
      <c r="P117" s="208"/>
      <c r="Q117" s="232"/>
    </row>
    <row r="118" spans="1:18" x14ac:dyDescent="0.2">
      <c r="A118" s="180"/>
      <c r="B118" s="190"/>
      <c r="C118" s="187" t="s">
        <v>0</v>
      </c>
      <c r="D118" s="187" t="s">
        <v>1</v>
      </c>
      <c r="F118" s="230"/>
      <c r="G118" s="230"/>
      <c r="H118" s="230"/>
      <c r="I118" s="230"/>
      <c r="J118" s="295"/>
    </row>
    <row r="119" spans="1:18" x14ac:dyDescent="0.2">
      <c r="A119" s="180"/>
      <c r="B119" s="335" t="s">
        <v>185</v>
      </c>
      <c r="C119" s="329">
        <v>0.86519999999999975</v>
      </c>
      <c r="D119" s="329">
        <v>1.1569000000000003</v>
      </c>
      <c r="E119" s="230" t="s">
        <v>162</v>
      </c>
      <c r="F119" s="233" t="s">
        <v>188</v>
      </c>
      <c r="I119" s="230"/>
      <c r="J119" s="295"/>
      <c r="K119" s="234"/>
      <c r="Q119" s="235"/>
      <c r="R119" s="235"/>
    </row>
    <row r="120" spans="1:18" x14ac:dyDescent="0.2">
      <c r="A120" s="180"/>
      <c r="F120" s="230"/>
      <c r="H120" s="230"/>
      <c r="I120" s="230"/>
      <c r="J120" s="295"/>
      <c r="K120" s="234"/>
      <c r="Q120" s="235"/>
      <c r="R120" s="235"/>
    </row>
    <row r="121" spans="1:18" x14ac:dyDescent="0.2">
      <c r="A121" s="175"/>
      <c r="B121" s="230"/>
      <c r="C121" s="230"/>
      <c r="D121" s="230"/>
      <c r="E121" s="230"/>
      <c r="F121" s="230"/>
      <c r="G121" s="230"/>
      <c r="H121" s="230"/>
      <c r="I121" s="230"/>
      <c r="J121" s="230"/>
    </row>
    <row r="122" spans="1:18" x14ac:dyDescent="0.2">
      <c r="A122" s="180" t="s">
        <v>72</v>
      </c>
      <c r="B122" s="178" t="s">
        <v>358</v>
      </c>
      <c r="D122" s="230"/>
      <c r="I122" s="230"/>
      <c r="J122" s="230"/>
    </row>
    <row r="123" spans="1:18" x14ac:dyDescent="0.2">
      <c r="A123" s="180"/>
      <c r="B123" s="230" t="s">
        <v>359</v>
      </c>
      <c r="D123" s="269">
        <v>2</v>
      </c>
      <c r="E123" s="221" t="s">
        <v>143</v>
      </c>
      <c r="I123" s="230"/>
      <c r="J123" s="230"/>
    </row>
    <row r="124" spans="1:18" x14ac:dyDescent="0.2">
      <c r="A124" s="180"/>
      <c r="B124" s="230" t="s">
        <v>360</v>
      </c>
      <c r="D124" s="269">
        <v>6.96</v>
      </c>
      <c r="E124" s="221" t="s">
        <v>143</v>
      </c>
      <c r="I124" s="230"/>
      <c r="J124" s="230"/>
    </row>
    <row r="125" spans="1:18" x14ac:dyDescent="0.2">
      <c r="A125" s="182"/>
      <c r="B125" s="179"/>
      <c r="E125" s="221"/>
    </row>
    <row r="126" spans="1:18" x14ac:dyDescent="0.2">
      <c r="A126" s="182"/>
      <c r="B126" s="179"/>
      <c r="F126" s="221"/>
    </row>
    <row r="127" spans="1:18" x14ac:dyDescent="0.2">
      <c r="A127" s="182"/>
      <c r="B127" s="178"/>
      <c r="E127" s="236"/>
      <c r="F127" s="221"/>
    </row>
    <row r="128" spans="1:18" x14ac:dyDescent="0.2">
      <c r="A128" s="180"/>
      <c r="B128" s="178"/>
    </row>
    <row r="129" spans="1:10" x14ac:dyDescent="0.2">
      <c r="A129" s="180" t="s">
        <v>321</v>
      </c>
      <c r="B129" s="178" t="s">
        <v>319</v>
      </c>
    </row>
    <row r="130" spans="1:10" x14ac:dyDescent="0.2">
      <c r="A130" s="180"/>
      <c r="B130" s="178" t="s">
        <v>320</v>
      </c>
      <c r="C130" s="176"/>
      <c r="D130" s="269">
        <v>276.83</v>
      </c>
      <c r="E130" s="176" t="s">
        <v>142</v>
      </c>
      <c r="F130" s="176"/>
      <c r="G130" s="176"/>
      <c r="H130" s="176"/>
      <c r="I130" s="176"/>
      <c r="J130" s="176"/>
    </row>
    <row r="131" spans="1:10" x14ac:dyDescent="0.2">
      <c r="A131" s="180"/>
      <c r="B131" s="178"/>
    </row>
    <row r="132" spans="1:10" x14ac:dyDescent="0.2">
      <c r="A132" s="182"/>
      <c r="B132" s="208"/>
      <c r="C132" s="232"/>
      <c r="D132" s="232"/>
      <c r="E132" s="232"/>
      <c r="F132" s="232"/>
      <c r="G132" s="232"/>
      <c r="H132" s="232"/>
    </row>
    <row r="133" spans="1:10" x14ac:dyDescent="0.2">
      <c r="A133" s="182"/>
      <c r="B133" s="208"/>
      <c r="C133" s="232"/>
      <c r="D133" s="232"/>
      <c r="E133" s="232"/>
      <c r="F133" s="232"/>
      <c r="G133" s="232"/>
      <c r="H133" s="232"/>
    </row>
    <row r="134" spans="1:10" x14ac:dyDescent="0.2">
      <c r="A134" s="182"/>
      <c r="B134" s="208"/>
      <c r="G134" s="232"/>
      <c r="H134" s="232"/>
    </row>
    <row r="135" spans="1:10" ht="63.75" x14ac:dyDescent="0.2">
      <c r="A135" s="276" t="s">
        <v>322</v>
      </c>
      <c r="B135" s="280" t="s">
        <v>231</v>
      </c>
      <c r="C135" s="349" t="s">
        <v>364</v>
      </c>
      <c r="D135" s="349" t="s">
        <v>372</v>
      </c>
      <c r="E135" s="183" t="s">
        <v>375</v>
      </c>
      <c r="G135" s="232"/>
      <c r="H135" s="232"/>
    </row>
    <row r="136" spans="1:10" x14ac:dyDescent="0.2">
      <c r="A136" s="182"/>
      <c r="B136" s="280" t="s">
        <v>205</v>
      </c>
      <c r="C136" s="350">
        <v>96.38</v>
      </c>
      <c r="D136" s="350">
        <v>90.78</v>
      </c>
      <c r="E136" s="350">
        <v>90.78</v>
      </c>
      <c r="G136" s="232"/>
      <c r="H136" s="232"/>
    </row>
    <row r="137" spans="1:10" x14ac:dyDescent="0.2">
      <c r="A137" s="182"/>
      <c r="B137" s="280" t="s">
        <v>311</v>
      </c>
      <c r="C137" s="351">
        <v>28</v>
      </c>
      <c r="D137" s="351">
        <v>28</v>
      </c>
      <c r="E137" s="351">
        <v>29</v>
      </c>
      <c r="G137" s="232"/>
      <c r="H137" s="232"/>
    </row>
    <row r="138" spans="1:10" x14ac:dyDescent="0.2">
      <c r="A138" s="182"/>
      <c r="B138" s="280" t="s">
        <v>369</v>
      </c>
      <c r="C138" s="190"/>
      <c r="D138" s="190"/>
      <c r="E138" s="352" t="s">
        <v>356</v>
      </c>
      <c r="G138" s="232"/>
      <c r="H138" s="232"/>
    </row>
    <row r="139" spans="1:10" x14ac:dyDescent="0.2">
      <c r="A139" s="182"/>
      <c r="B139" s="178" t="s">
        <v>207</v>
      </c>
      <c r="F139" s="232"/>
      <c r="G139" s="232"/>
      <c r="H139" s="232"/>
    </row>
    <row r="140" spans="1:10" x14ac:dyDescent="0.2">
      <c r="A140" s="180"/>
      <c r="B140" s="353" t="s">
        <v>208</v>
      </c>
      <c r="C140" s="354">
        <v>1</v>
      </c>
      <c r="D140" s="354">
        <v>1</v>
      </c>
      <c r="E140" s="354">
        <v>1</v>
      </c>
      <c r="F140" s="232"/>
      <c r="G140" s="232"/>
      <c r="H140" s="232"/>
    </row>
    <row r="141" spans="1:10" x14ac:dyDescent="0.2">
      <c r="A141" s="182"/>
      <c r="B141" s="353" t="s">
        <v>209</v>
      </c>
      <c r="C141" s="354">
        <v>1</v>
      </c>
      <c r="D141" s="354">
        <v>1</v>
      </c>
      <c r="E141" s="354">
        <v>1</v>
      </c>
      <c r="F141" s="232"/>
      <c r="G141" s="232"/>
      <c r="H141" s="232"/>
    </row>
    <row r="142" spans="1:10" x14ac:dyDescent="0.2">
      <c r="A142" s="182"/>
      <c r="B142" s="178"/>
    </row>
    <row r="143" spans="1:10" x14ac:dyDescent="0.2">
      <c r="A143" s="182"/>
      <c r="B143" s="179"/>
      <c r="G143" s="232"/>
    </row>
    <row r="144" spans="1:10" x14ac:dyDescent="0.2">
      <c r="A144" s="182"/>
      <c r="B144" s="179"/>
    </row>
    <row r="145" spans="1:11" x14ac:dyDescent="0.2">
      <c r="A145" s="182"/>
      <c r="H145" s="176"/>
      <c r="I145" s="176"/>
      <c r="J145" s="176"/>
    </row>
    <row r="146" spans="1:11" x14ac:dyDescent="0.2">
      <c r="A146" s="182"/>
    </row>
    <row r="147" spans="1:11" x14ac:dyDescent="0.2">
      <c r="A147" s="182"/>
      <c r="B147" s="194"/>
      <c r="H147" s="296"/>
      <c r="I147" s="296"/>
      <c r="J147" s="296"/>
      <c r="K147" s="296"/>
    </row>
    <row r="148" spans="1:11" x14ac:dyDescent="0.2">
      <c r="A148" s="182"/>
      <c r="B148" s="237"/>
      <c r="H148" s="296"/>
      <c r="I148" s="296"/>
      <c r="J148" s="296"/>
    </row>
    <row r="149" spans="1:11" x14ac:dyDescent="0.2">
      <c r="A149" s="182"/>
      <c r="B149" s="237"/>
      <c r="H149" s="296"/>
      <c r="I149" s="296"/>
      <c r="J149" s="296"/>
    </row>
    <row r="150" spans="1:11" x14ac:dyDescent="0.2">
      <c r="A150" s="182"/>
      <c r="B150" s="295"/>
      <c r="H150" s="296"/>
      <c r="I150" s="296"/>
      <c r="J150" s="296"/>
    </row>
    <row r="151" spans="1:11" x14ac:dyDescent="0.2">
      <c r="A151" s="182"/>
      <c r="B151" s="295"/>
      <c r="H151" s="296"/>
      <c r="I151" s="296"/>
      <c r="J151" s="296"/>
    </row>
    <row r="152" spans="1:11" x14ac:dyDescent="0.2">
      <c r="A152" s="182"/>
      <c r="H152" s="296"/>
      <c r="I152" s="296"/>
      <c r="J152" s="296"/>
    </row>
    <row r="153" spans="1:11" x14ac:dyDescent="0.2">
      <c r="A153" s="182"/>
      <c r="B153" s="194"/>
      <c r="H153" s="296"/>
      <c r="I153" s="296"/>
      <c r="J153" s="296"/>
      <c r="K153" s="296"/>
    </row>
    <row r="154" spans="1:11" x14ac:dyDescent="0.2">
      <c r="A154" s="182"/>
      <c r="B154" s="237"/>
      <c r="H154" s="296"/>
      <c r="I154" s="296"/>
      <c r="J154" s="296"/>
    </row>
    <row r="155" spans="1:11" x14ac:dyDescent="0.2">
      <c r="A155" s="182"/>
      <c r="B155" s="237"/>
      <c r="H155" s="296"/>
      <c r="I155" s="296"/>
      <c r="J155" s="296"/>
    </row>
    <row r="156" spans="1:11" x14ac:dyDescent="0.2">
      <c r="A156" s="182"/>
      <c r="H156" s="296"/>
      <c r="I156" s="296"/>
      <c r="J156" s="296"/>
    </row>
    <row r="157" spans="1:11" x14ac:dyDescent="0.2">
      <c r="A157" s="182"/>
      <c r="H157" s="296"/>
      <c r="I157" s="296"/>
      <c r="J157" s="296"/>
      <c r="K157" s="296"/>
    </row>
    <row r="158" spans="1:11" x14ac:dyDescent="0.2">
      <c r="A158" s="182"/>
      <c r="H158" s="296"/>
      <c r="I158" s="296"/>
      <c r="J158" s="296"/>
      <c r="K158" s="296"/>
    </row>
    <row r="159" spans="1:11" x14ac:dyDescent="0.2">
      <c r="A159" s="182"/>
      <c r="B159" s="178"/>
    </row>
    <row r="160" spans="1:11" x14ac:dyDescent="0.2">
      <c r="A160" s="182"/>
      <c r="B160" s="179"/>
    </row>
    <row r="161" spans="1:15" x14ac:dyDescent="0.2">
      <c r="A161" s="182"/>
      <c r="B161" s="179"/>
    </row>
    <row r="162" spans="1:15" x14ac:dyDescent="0.2">
      <c r="A162" s="182"/>
      <c r="H162" s="178"/>
      <c r="I162" s="176"/>
      <c r="J162" s="176"/>
    </row>
    <row r="163" spans="1:15" x14ac:dyDescent="0.2">
      <c r="A163" s="182"/>
    </row>
    <row r="164" spans="1:15" x14ac:dyDescent="0.2">
      <c r="A164" s="182"/>
      <c r="B164" s="194"/>
      <c r="H164" s="239"/>
    </row>
    <row r="165" spans="1:15" x14ac:dyDescent="0.2">
      <c r="A165" s="182"/>
      <c r="B165" s="237"/>
      <c r="H165" s="208"/>
      <c r="I165" s="297"/>
      <c r="J165" s="297"/>
      <c r="K165" s="221"/>
      <c r="O165" s="240"/>
    </row>
    <row r="166" spans="1:15" x14ac:dyDescent="0.2">
      <c r="A166" s="182"/>
      <c r="B166" s="237"/>
      <c r="H166" s="208"/>
      <c r="I166" s="297"/>
      <c r="J166" s="297"/>
      <c r="K166" s="221"/>
    </row>
    <row r="167" spans="1:15" x14ac:dyDescent="0.2">
      <c r="A167" s="182"/>
      <c r="H167" s="208"/>
      <c r="I167" s="297"/>
      <c r="J167" s="297"/>
      <c r="K167" s="221"/>
    </row>
    <row r="168" spans="1:15" x14ac:dyDescent="0.2">
      <c r="A168" s="182"/>
      <c r="B168" s="194"/>
    </row>
    <row r="169" spans="1:15" x14ac:dyDescent="0.2">
      <c r="A169" s="182"/>
      <c r="B169" s="237"/>
      <c r="H169" s="239"/>
      <c r="I169" s="241"/>
      <c r="J169" s="241"/>
      <c r="K169" s="221"/>
    </row>
    <row r="170" spans="1:15" x14ac:dyDescent="0.2">
      <c r="A170" s="182"/>
      <c r="B170" s="237"/>
      <c r="H170" s="208"/>
      <c r="I170" s="297"/>
      <c r="J170" s="297"/>
      <c r="K170" s="221"/>
    </row>
    <row r="171" spans="1:15" x14ac:dyDescent="0.2">
      <c r="A171" s="182"/>
      <c r="B171" s="237"/>
    </row>
    <row r="172" spans="1:15" x14ac:dyDescent="0.2">
      <c r="A172" s="182"/>
    </row>
    <row r="173" spans="1:15" x14ac:dyDescent="0.2">
      <c r="A173" s="182"/>
    </row>
    <row r="174" spans="1:15" x14ac:dyDescent="0.2">
      <c r="A174" s="182"/>
      <c r="B174" s="242"/>
    </row>
    <row r="175" spans="1:15" x14ac:dyDescent="0.2">
      <c r="A175" s="182"/>
      <c r="B175" s="194"/>
    </row>
    <row r="176" spans="1:15" x14ac:dyDescent="0.2">
      <c r="A176" s="182"/>
      <c r="B176" s="237"/>
    </row>
    <row r="177" spans="1:7" x14ac:dyDescent="0.2">
      <c r="A177" s="182"/>
      <c r="B177" s="237"/>
    </row>
    <row r="178" spans="1:7" x14ac:dyDescent="0.2">
      <c r="A178" s="182"/>
    </row>
    <row r="179" spans="1:7" x14ac:dyDescent="0.2">
      <c r="A179" s="182"/>
      <c r="B179" s="194"/>
    </row>
    <row r="180" spans="1:7" x14ac:dyDescent="0.2">
      <c r="A180" s="182"/>
      <c r="B180" s="237"/>
      <c r="C180" s="296"/>
      <c r="D180" s="296"/>
    </row>
    <row r="181" spans="1:7" x14ac:dyDescent="0.2">
      <c r="A181" s="182"/>
      <c r="B181" s="237"/>
      <c r="C181" s="296"/>
      <c r="D181" s="296"/>
    </row>
    <row r="182" spans="1:7" x14ac:dyDescent="0.2">
      <c r="A182" s="182"/>
      <c r="B182" s="237"/>
      <c r="C182" s="296"/>
      <c r="D182" s="296"/>
    </row>
    <row r="183" spans="1:7" x14ac:dyDescent="0.2">
      <c r="A183" s="182"/>
      <c r="C183" s="296"/>
      <c r="D183" s="296"/>
    </row>
    <row r="184" spans="1:7" x14ac:dyDescent="0.2">
      <c r="A184" s="182"/>
      <c r="C184" s="298"/>
      <c r="D184" s="298"/>
    </row>
    <row r="185" spans="1:7" x14ac:dyDescent="0.2">
      <c r="A185" s="182"/>
      <c r="B185" s="178"/>
      <c r="C185" s="296"/>
      <c r="D185" s="296"/>
    </row>
    <row r="186" spans="1:7" x14ac:dyDescent="0.2">
      <c r="A186" s="182"/>
      <c r="B186" s="208"/>
      <c r="C186" s="243"/>
      <c r="G186" s="244"/>
    </row>
    <row r="187" spans="1:7" x14ac:dyDescent="0.2">
      <c r="A187" s="182"/>
      <c r="C187" s="208"/>
      <c r="D187" s="232"/>
    </row>
    <row r="188" spans="1:7" x14ac:dyDescent="0.2">
      <c r="A188" s="182"/>
      <c r="C188" s="208"/>
      <c r="D188" s="232"/>
    </row>
    <row r="189" spans="1:7" x14ac:dyDescent="0.2">
      <c r="A189" s="182"/>
    </row>
    <row r="190" spans="1:7" x14ac:dyDescent="0.2">
      <c r="A190" s="182"/>
      <c r="E190" s="241"/>
    </row>
    <row r="191" spans="1:7" x14ac:dyDescent="0.2">
      <c r="A191" s="180"/>
      <c r="B191" s="178"/>
    </row>
    <row r="192" spans="1:7" x14ac:dyDescent="0.2">
      <c r="A192" s="182"/>
      <c r="B192" s="178"/>
    </row>
    <row r="193" spans="1:13" x14ac:dyDescent="0.2">
      <c r="A193" s="182"/>
      <c r="B193" s="178"/>
    </row>
    <row r="194" spans="1:13" x14ac:dyDescent="0.2">
      <c r="A194" s="182"/>
      <c r="B194" s="179"/>
    </row>
    <row r="195" spans="1:13" x14ac:dyDescent="0.2">
      <c r="A195" s="182"/>
      <c r="B195" s="178"/>
    </row>
    <row r="196" spans="1:13" x14ac:dyDescent="0.2">
      <c r="A196" s="182"/>
      <c r="C196" s="176"/>
      <c r="D196" s="176"/>
      <c r="E196" s="176"/>
      <c r="F196" s="176"/>
      <c r="G196" s="176"/>
      <c r="H196" s="176"/>
      <c r="I196" s="176"/>
      <c r="J196" s="176"/>
    </row>
    <row r="197" spans="1:13" x14ac:dyDescent="0.2">
      <c r="A197" s="182"/>
      <c r="C197" s="176"/>
      <c r="D197" s="176"/>
      <c r="E197" s="176"/>
      <c r="F197" s="176"/>
      <c r="G197" s="176"/>
    </row>
    <row r="198" spans="1:13" x14ac:dyDescent="0.2">
      <c r="A198" s="182"/>
      <c r="B198" s="194"/>
      <c r="E198" s="299"/>
      <c r="F198" s="245"/>
      <c r="G198" s="245"/>
      <c r="H198" s="245"/>
      <c r="I198" s="299"/>
      <c r="J198" s="299"/>
      <c r="K198" s="300"/>
      <c r="L198" s="300"/>
      <c r="M198" s="300"/>
    </row>
    <row r="199" spans="1:13" x14ac:dyDescent="0.2">
      <c r="A199" s="182"/>
      <c r="B199" s="237"/>
      <c r="C199" s="246"/>
      <c r="D199" s="301"/>
      <c r="E199" s="245"/>
      <c r="F199" s="299"/>
      <c r="G199" s="299"/>
      <c r="H199" s="299"/>
      <c r="I199" s="230"/>
      <c r="J199" s="302"/>
      <c r="K199" s="300"/>
      <c r="L199" s="300"/>
      <c r="M199" s="300"/>
    </row>
    <row r="200" spans="1:13" x14ac:dyDescent="0.2">
      <c r="A200" s="182"/>
      <c r="B200" s="237"/>
      <c r="C200" s="246"/>
      <c r="D200" s="301"/>
      <c r="E200" s="245"/>
      <c r="F200" s="299"/>
      <c r="G200" s="299"/>
      <c r="H200" s="247"/>
      <c r="I200" s="230"/>
      <c r="J200" s="302"/>
      <c r="K200" s="248"/>
      <c r="L200" s="300"/>
      <c r="M200" s="300"/>
    </row>
    <row r="201" spans="1:13" x14ac:dyDescent="0.2">
      <c r="A201" s="182"/>
      <c r="E201" s="246"/>
      <c r="F201" s="301"/>
      <c r="G201" s="301"/>
      <c r="L201" s="300"/>
      <c r="M201" s="300"/>
    </row>
    <row r="202" spans="1:13" x14ac:dyDescent="0.2">
      <c r="A202" s="182"/>
      <c r="B202" s="249"/>
      <c r="C202" s="245"/>
      <c r="D202" s="245"/>
      <c r="E202" s="246"/>
      <c r="F202" s="301"/>
      <c r="G202" s="301"/>
      <c r="H202" s="301"/>
      <c r="I202" s="301"/>
      <c r="J202" s="301"/>
      <c r="K202" s="300"/>
      <c r="L202" s="300"/>
      <c r="M202" s="300"/>
    </row>
    <row r="203" spans="1:13" x14ac:dyDescent="0.2">
      <c r="A203" s="180"/>
      <c r="B203" s="249"/>
      <c r="C203" s="250"/>
      <c r="D203" s="250"/>
      <c r="E203" s="253"/>
      <c r="F203" s="301"/>
      <c r="G203" s="301"/>
      <c r="H203" s="301"/>
      <c r="I203" s="301"/>
      <c r="J203" s="301"/>
      <c r="K203" s="300"/>
      <c r="L203" s="300"/>
      <c r="M203" s="300"/>
    </row>
    <row r="204" spans="1:13" x14ac:dyDescent="0.2">
      <c r="A204" s="180"/>
      <c r="B204" s="249"/>
      <c r="C204" s="250"/>
      <c r="D204" s="250"/>
      <c r="E204" s="253"/>
      <c r="F204" s="301"/>
      <c r="G204" s="301"/>
      <c r="H204" s="301"/>
      <c r="I204" s="301"/>
      <c r="J204" s="301"/>
      <c r="K204" s="300"/>
      <c r="L204" s="300"/>
      <c r="M204" s="300"/>
    </row>
    <row r="205" spans="1:13" x14ac:dyDescent="0.2">
      <c r="A205" s="182"/>
      <c r="G205" s="301"/>
      <c r="H205" s="301"/>
      <c r="I205" s="301"/>
      <c r="J205" s="301"/>
      <c r="K205" s="300"/>
      <c r="L205" s="300"/>
      <c r="M205" s="300"/>
    </row>
    <row r="206" spans="1:13" x14ac:dyDescent="0.2">
      <c r="A206" s="182"/>
      <c r="H206" s="301"/>
      <c r="I206" s="301"/>
      <c r="J206" s="301"/>
      <c r="K206" s="300"/>
      <c r="L206" s="300"/>
      <c r="M206" s="300"/>
    </row>
    <row r="207" spans="1:13" x14ac:dyDescent="0.2">
      <c r="A207" s="182"/>
      <c r="C207" s="301"/>
      <c r="D207" s="301"/>
      <c r="E207" s="301"/>
      <c r="F207" s="301"/>
      <c r="G207" s="301"/>
      <c r="H207" s="301"/>
      <c r="I207" s="301"/>
      <c r="J207" s="301"/>
      <c r="K207" s="300"/>
      <c r="L207" s="300"/>
      <c r="M207" s="300"/>
    </row>
    <row r="208" spans="1:13" x14ac:dyDescent="0.2">
      <c r="A208" s="182"/>
      <c r="B208" s="194"/>
      <c r="C208" s="245"/>
      <c r="D208" s="245"/>
      <c r="E208" s="299"/>
      <c r="F208" s="245"/>
      <c r="G208" s="245"/>
      <c r="H208" s="245"/>
      <c r="I208" s="299"/>
      <c r="J208" s="299"/>
      <c r="K208" s="300"/>
      <c r="L208" s="300"/>
      <c r="M208" s="300"/>
    </row>
    <row r="209" spans="1:13" x14ac:dyDescent="0.2">
      <c r="A209" s="182"/>
      <c r="B209" s="237"/>
      <c r="C209" s="301"/>
      <c r="D209" s="301"/>
      <c r="E209" s="245"/>
      <c r="F209" s="301"/>
      <c r="G209" s="301"/>
      <c r="H209" s="301"/>
      <c r="J209" s="302"/>
      <c r="K209" s="300"/>
      <c r="L209" s="300"/>
      <c r="M209" s="300"/>
    </row>
    <row r="210" spans="1:13" x14ac:dyDescent="0.2">
      <c r="A210" s="182"/>
      <c r="B210" s="237"/>
      <c r="C210" s="301"/>
      <c r="D210" s="301"/>
      <c r="E210" s="245"/>
      <c r="F210" s="301"/>
      <c r="G210" s="301"/>
      <c r="J210" s="302"/>
      <c r="K210" s="248"/>
      <c r="L210" s="300"/>
      <c r="M210" s="300"/>
    </row>
    <row r="211" spans="1:13" x14ac:dyDescent="0.2">
      <c r="A211" s="182"/>
      <c r="C211" s="301"/>
      <c r="D211" s="301"/>
      <c r="E211" s="301"/>
      <c r="F211" s="301"/>
      <c r="G211" s="301"/>
      <c r="K211" s="300"/>
      <c r="L211" s="300"/>
      <c r="M211" s="300"/>
    </row>
    <row r="212" spans="1:13" x14ac:dyDescent="0.2">
      <c r="A212" s="182"/>
      <c r="C212" s="299"/>
      <c r="D212" s="299"/>
      <c r="E212" s="299"/>
      <c r="F212" s="299"/>
      <c r="G212" s="299"/>
      <c r="H212" s="299"/>
      <c r="I212" s="299"/>
      <c r="J212" s="299"/>
      <c r="K212" s="300"/>
      <c r="L212" s="300"/>
      <c r="M212" s="300"/>
    </row>
    <row r="213" spans="1:13" x14ac:dyDescent="0.2">
      <c r="A213" s="182"/>
    </row>
    <row r="214" spans="1:13" x14ac:dyDescent="0.2">
      <c r="A214" s="182"/>
    </row>
    <row r="215" spans="1:13" x14ac:dyDescent="0.2">
      <c r="A215" s="182"/>
      <c r="B215" s="178"/>
    </row>
    <row r="216" spans="1:13" x14ac:dyDescent="0.2">
      <c r="A216" s="182"/>
      <c r="B216" s="179"/>
    </row>
    <row r="217" spans="1:13" x14ac:dyDescent="0.2">
      <c r="A217" s="182"/>
      <c r="B217" s="230"/>
    </row>
    <row r="218" spans="1:13" x14ac:dyDescent="0.2">
      <c r="A218" s="182"/>
      <c r="C218" s="176"/>
      <c r="D218" s="176"/>
      <c r="E218" s="176"/>
      <c r="F218" s="176"/>
      <c r="H218" s="178"/>
    </row>
    <row r="219" spans="1:13" x14ac:dyDescent="0.2">
      <c r="A219" s="182"/>
      <c r="C219" s="176"/>
      <c r="D219" s="251"/>
      <c r="E219" s="176"/>
      <c r="F219" s="251"/>
    </row>
    <row r="220" spans="1:13" x14ac:dyDescent="0.2">
      <c r="A220" s="182"/>
      <c r="B220" s="194"/>
      <c r="C220" s="245"/>
      <c r="D220" s="248"/>
      <c r="E220" s="247"/>
      <c r="F220" s="247"/>
      <c r="H220" s="239"/>
    </row>
    <row r="221" spans="1:13" x14ac:dyDescent="0.2">
      <c r="A221" s="182"/>
      <c r="B221" s="237"/>
      <c r="C221" s="299"/>
      <c r="D221" s="248"/>
      <c r="E221" s="245"/>
      <c r="F221" s="248"/>
      <c r="H221" s="208"/>
      <c r="I221" s="303"/>
      <c r="J221" s="303"/>
      <c r="K221" s="221"/>
    </row>
    <row r="222" spans="1:13" x14ac:dyDescent="0.2">
      <c r="A222" s="182"/>
      <c r="B222" s="237"/>
      <c r="C222" s="299"/>
      <c r="D222" s="248"/>
      <c r="E222" s="245"/>
      <c r="F222" s="248"/>
      <c r="H222" s="208"/>
      <c r="I222" s="303"/>
      <c r="J222" s="303"/>
      <c r="K222" s="221"/>
    </row>
    <row r="223" spans="1:13" x14ac:dyDescent="0.2">
      <c r="A223" s="182"/>
      <c r="C223" s="299"/>
      <c r="D223" s="248"/>
      <c r="E223" s="299"/>
      <c r="F223" s="248"/>
      <c r="H223" s="208"/>
      <c r="I223" s="303"/>
      <c r="J223" s="303"/>
      <c r="K223" s="221"/>
    </row>
    <row r="224" spans="1:13" x14ac:dyDescent="0.2">
      <c r="A224" s="182"/>
      <c r="B224" s="194"/>
      <c r="C224" s="245"/>
      <c r="D224" s="248"/>
      <c r="E224" s="245"/>
      <c r="F224" s="248"/>
    </row>
    <row r="225" spans="1:11" x14ac:dyDescent="0.2">
      <c r="A225" s="182"/>
      <c r="B225" s="237"/>
      <c r="C225" s="299"/>
      <c r="D225" s="247"/>
      <c r="E225" s="245"/>
      <c r="F225" s="248"/>
      <c r="H225" s="239"/>
      <c r="I225" s="241"/>
      <c r="J225" s="241"/>
    </row>
    <row r="226" spans="1:11" x14ac:dyDescent="0.2">
      <c r="A226" s="182"/>
      <c r="B226" s="237"/>
      <c r="C226" s="299"/>
      <c r="D226" s="247"/>
      <c r="E226" s="245"/>
      <c r="F226" s="248"/>
      <c r="H226" s="208"/>
      <c r="I226" s="303"/>
      <c r="J226" s="303"/>
      <c r="K226" s="221"/>
    </row>
    <row r="227" spans="1:11" x14ac:dyDescent="0.2">
      <c r="A227" s="182"/>
      <c r="C227" s="299"/>
      <c r="D227" s="247"/>
      <c r="E227" s="299"/>
      <c r="F227" s="247"/>
    </row>
    <row r="228" spans="1:11" x14ac:dyDescent="0.2">
      <c r="A228" s="182"/>
      <c r="C228" s="299"/>
      <c r="D228" s="247"/>
      <c r="E228" s="299"/>
      <c r="F228" s="247"/>
    </row>
    <row r="229" spans="1:11" x14ac:dyDescent="0.2">
      <c r="A229" s="182"/>
      <c r="C229" s="300"/>
      <c r="E229" s="300"/>
    </row>
    <row r="230" spans="1:11" x14ac:dyDescent="0.2">
      <c r="A230" s="182"/>
      <c r="C230" s="300"/>
      <c r="E230" s="300"/>
    </row>
    <row r="232" spans="1:11" x14ac:dyDescent="0.2">
      <c r="A232" s="178"/>
      <c r="E232" s="234"/>
    </row>
    <row r="233" spans="1:11" x14ac:dyDescent="0.2">
      <c r="A233" s="182"/>
      <c r="B233" s="208"/>
      <c r="C233" s="238"/>
      <c r="D233" s="221"/>
      <c r="E233" s="174"/>
    </row>
    <row r="234" spans="1:11" x14ac:dyDescent="0.2">
      <c r="A234" s="182"/>
      <c r="B234" s="208"/>
      <c r="C234" s="238"/>
      <c r="D234" s="221"/>
      <c r="E234" s="174"/>
    </row>
    <row r="235" spans="1:11" x14ac:dyDescent="0.2">
      <c r="A235" s="182"/>
      <c r="B235" s="208"/>
    </row>
    <row r="236" spans="1:11" x14ac:dyDescent="0.2">
      <c r="A236" s="182"/>
      <c r="B236" s="208"/>
      <c r="C236" s="238"/>
      <c r="D236" s="221"/>
      <c r="E236" s="236"/>
    </row>
    <row r="237" spans="1:11" x14ac:dyDescent="0.2">
      <c r="A237" s="182"/>
      <c r="B237" s="208"/>
      <c r="C237" s="252"/>
      <c r="E237" s="236"/>
    </row>
    <row r="238" spans="1:11" x14ac:dyDescent="0.2">
      <c r="A238" s="182"/>
      <c r="B238" s="208"/>
      <c r="C238" s="252"/>
      <c r="E238" s="236"/>
    </row>
    <row r="239" spans="1:11" x14ac:dyDescent="0.2">
      <c r="A239" s="182"/>
      <c r="B239" s="208"/>
      <c r="C239" s="263"/>
    </row>
    <row r="240" spans="1:11" x14ac:dyDescent="0.2">
      <c r="A240" s="182"/>
      <c r="B240" s="208"/>
      <c r="C240" s="230"/>
    </row>
    <row r="241" spans="1:13" x14ac:dyDescent="0.2">
      <c r="A241" s="182"/>
      <c r="B241" s="208"/>
      <c r="C241" s="253"/>
    </row>
    <row r="242" spans="1:13" x14ac:dyDescent="0.2">
      <c r="A242" s="182"/>
      <c r="B242" s="208"/>
      <c r="C242" s="174"/>
    </row>
    <row r="243" spans="1:13" x14ac:dyDescent="0.2">
      <c r="A243" s="182"/>
      <c r="B243" s="208"/>
    </row>
    <row r="244" spans="1:13" x14ac:dyDescent="0.2">
      <c r="A244" s="182"/>
      <c r="B244" s="208"/>
    </row>
    <row r="245" spans="1:13" x14ac:dyDescent="0.2">
      <c r="A245" s="182"/>
      <c r="B245" s="208"/>
    </row>
    <row r="247" spans="1:13" x14ac:dyDescent="0.2">
      <c r="B247" s="208"/>
    </row>
    <row r="248" spans="1:13" x14ac:dyDescent="0.2">
      <c r="A248" s="182"/>
      <c r="C248" s="300"/>
      <c r="E248" s="300"/>
    </row>
    <row r="249" spans="1:13" x14ac:dyDescent="0.2">
      <c r="A249" s="182"/>
      <c r="C249" s="300"/>
      <c r="E249" s="300"/>
    </row>
    <row r="250" spans="1:13" x14ac:dyDescent="0.2">
      <c r="A250" s="182"/>
      <c r="C250" s="300"/>
      <c r="E250" s="300"/>
    </row>
    <row r="251" spans="1:13" x14ac:dyDescent="0.2">
      <c r="A251" s="180"/>
      <c r="B251" s="178"/>
    </row>
    <row r="252" spans="1:13" x14ac:dyDescent="0.2">
      <c r="A252" s="182"/>
      <c r="B252" s="178"/>
    </row>
    <row r="253" spans="1:13" x14ac:dyDescent="0.2">
      <c r="A253" s="182"/>
      <c r="C253" s="176"/>
      <c r="D253" s="176"/>
      <c r="E253" s="176"/>
      <c r="F253" s="176"/>
      <c r="G253" s="176"/>
      <c r="H253" s="176"/>
      <c r="I253" s="176"/>
      <c r="J253" s="176"/>
      <c r="K253" s="176"/>
      <c r="L253" s="176"/>
      <c r="M253" s="176"/>
    </row>
    <row r="254" spans="1:13" x14ac:dyDescent="0.2">
      <c r="A254" s="182"/>
    </row>
    <row r="255" spans="1:13" x14ac:dyDescent="0.2">
      <c r="A255" s="182"/>
      <c r="B255" s="201"/>
      <c r="C255" s="304"/>
      <c r="D255" s="304"/>
      <c r="E255" s="243"/>
      <c r="F255" s="243"/>
      <c r="G255" s="243"/>
      <c r="H255" s="243"/>
      <c r="I255" s="243"/>
      <c r="J255" s="243"/>
      <c r="K255" s="243"/>
      <c r="L255" s="243"/>
      <c r="M255" s="243"/>
    </row>
    <row r="256" spans="1:13" x14ac:dyDescent="0.2">
      <c r="A256" s="182"/>
      <c r="B256" s="201"/>
      <c r="C256" s="243"/>
      <c r="D256" s="243"/>
      <c r="E256" s="243"/>
      <c r="F256" s="243"/>
      <c r="G256" s="243"/>
      <c r="H256" s="243"/>
      <c r="I256" s="243"/>
      <c r="J256" s="243"/>
      <c r="K256" s="243"/>
      <c r="L256" s="243"/>
      <c r="M256" s="243"/>
    </row>
    <row r="257" spans="1:13" x14ac:dyDescent="0.2">
      <c r="A257" s="182"/>
      <c r="B257" s="201"/>
      <c r="C257" s="244"/>
      <c r="D257" s="244"/>
      <c r="E257" s="244"/>
      <c r="F257" s="244"/>
      <c r="G257" s="244"/>
      <c r="H257" s="244"/>
      <c r="I257" s="244"/>
      <c r="J257" s="243"/>
      <c r="K257" s="243"/>
      <c r="L257" s="243"/>
      <c r="M257" s="243"/>
    </row>
    <row r="258" spans="1:13" x14ac:dyDescent="0.2">
      <c r="A258" s="182"/>
      <c r="B258" s="201"/>
    </row>
    <row r="259" spans="1:13" x14ac:dyDescent="0.2">
      <c r="A259" s="182"/>
    </row>
    <row r="260" spans="1:13" x14ac:dyDescent="0.2">
      <c r="A260" s="182"/>
      <c r="B260" s="201"/>
      <c r="C260" s="254"/>
      <c r="D260" s="254"/>
      <c r="E260" s="254"/>
      <c r="F260" s="254"/>
      <c r="G260" s="254"/>
      <c r="H260" s="254"/>
      <c r="I260" s="254"/>
      <c r="J260" s="254"/>
      <c r="K260" s="254"/>
      <c r="L260" s="254"/>
      <c r="M260" s="254"/>
    </row>
    <row r="261" spans="1:13" x14ac:dyDescent="0.2">
      <c r="A261" s="182"/>
      <c r="B261" s="201"/>
      <c r="C261" s="254"/>
      <c r="D261" s="254"/>
      <c r="E261" s="254"/>
      <c r="F261" s="254"/>
      <c r="G261" s="254"/>
      <c r="H261" s="254"/>
      <c r="I261" s="254"/>
      <c r="J261" s="254"/>
      <c r="K261" s="254"/>
      <c r="L261" s="254"/>
      <c r="M261" s="254"/>
    </row>
    <row r="262" spans="1:13" x14ac:dyDescent="0.2">
      <c r="A262" s="182"/>
    </row>
    <row r="263" spans="1:13" x14ac:dyDescent="0.2">
      <c r="A263" s="182"/>
    </row>
    <row r="264" spans="1:13" x14ac:dyDescent="0.2">
      <c r="A264" s="182"/>
      <c r="B264" s="201"/>
      <c r="C264" s="255"/>
    </row>
    <row r="265" spans="1:13" x14ac:dyDescent="0.2">
      <c r="A265" s="182"/>
      <c r="B265" s="201"/>
      <c r="C265" s="255"/>
    </row>
    <row r="266" spans="1:13" x14ac:dyDescent="0.2">
      <c r="A266" s="182"/>
      <c r="B266" s="201"/>
      <c r="C266" s="244"/>
      <c r="D266" s="240"/>
    </row>
    <row r="267" spans="1:13" x14ac:dyDescent="0.2">
      <c r="A267" s="182"/>
      <c r="L267" s="256"/>
    </row>
    <row r="268" spans="1:13" x14ac:dyDescent="0.2">
      <c r="A268" s="182"/>
      <c r="K268" s="201"/>
    </row>
    <row r="269" spans="1:13" x14ac:dyDescent="0.2">
      <c r="A269" s="182"/>
      <c r="B269" s="201"/>
      <c r="C269" s="254"/>
      <c r="E269" s="234"/>
      <c r="K269" s="201"/>
      <c r="L269" s="216"/>
      <c r="M269" s="257"/>
    </row>
    <row r="270" spans="1:13" x14ac:dyDescent="0.2">
      <c r="A270" s="182"/>
      <c r="B270" s="201"/>
      <c r="C270" s="254"/>
      <c r="E270" s="234"/>
      <c r="K270" s="201"/>
      <c r="L270" s="216"/>
      <c r="M270" s="257"/>
    </row>
    <row r="271" spans="1:13" x14ac:dyDescent="0.2">
      <c r="A271" s="182"/>
    </row>
    <row r="272" spans="1:13" x14ac:dyDescent="0.2">
      <c r="A272" s="182"/>
      <c r="C272" s="300"/>
      <c r="E272" s="300"/>
    </row>
    <row r="273" spans="1:12" x14ac:dyDescent="0.2">
      <c r="A273" s="180"/>
      <c r="B273" s="178"/>
      <c r="C273" s="300"/>
      <c r="E273" s="300"/>
    </row>
    <row r="274" spans="1:12" x14ac:dyDescent="0.2">
      <c r="A274" s="182"/>
      <c r="C274" s="300"/>
      <c r="E274" s="300"/>
    </row>
    <row r="275" spans="1:12" x14ac:dyDescent="0.2">
      <c r="A275" s="182"/>
      <c r="B275" s="208"/>
      <c r="C275" s="296"/>
      <c r="E275" s="258"/>
    </row>
    <row r="276" spans="1:12" x14ac:dyDescent="0.2">
      <c r="A276" s="182"/>
      <c r="B276" s="208"/>
      <c r="C276" s="305"/>
      <c r="E276" s="300"/>
    </row>
    <row r="277" spans="1:12" x14ac:dyDescent="0.2">
      <c r="A277" s="182"/>
      <c r="B277" s="208"/>
      <c r="C277" s="305"/>
      <c r="E277" s="300"/>
    </row>
    <row r="278" spans="1:12" x14ac:dyDescent="0.2">
      <c r="A278" s="182"/>
      <c r="C278" s="300"/>
      <c r="E278" s="300"/>
    </row>
    <row r="279" spans="1:12" x14ac:dyDescent="0.2">
      <c r="A279" s="182"/>
      <c r="C279" s="176"/>
      <c r="D279" s="176"/>
      <c r="E279" s="176"/>
      <c r="F279" s="176"/>
      <c r="G279" s="176"/>
      <c r="H279" s="176"/>
      <c r="I279" s="176"/>
      <c r="J279" s="176"/>
      <c r="K279" s="176"/>
      <c r="L279" s="176"/>
    </row>
    <row r="280" spans="1:12" x14ac:dyDescent="0.2">
      <c r="A280" s="182"/>
    </row>
    <row r="281" spans="1:12" x14ac:dyDescent="0.2">
      <c r="A281" s="182"/>
      <c r="B281" s="201"/>
      <c r="C281" s="243"/>
      <c r="D281" s="243"/>
      <c r="E281" s="259"/>
      <c r="F281" s="243"/>
      <c r="G281" s="243"/>
      <c r="H281" s="243"/>
      <c r="I281" s="243"/>
      <c r="J281" s="243"/>
      <c r="K281" s="259"/>
      <c r="L281" s="259"/>
    </row>
    <row r="282" spans="1:12" x14ac:dyDescent="0.2">
      <c r="A282" s="182"/>
      <c r="B282" s="201"/>
      <c r="C282" s="243"/>
      <c r="D282" s="243"/>
      <c r="E282" s="259"/>
      <c r="F282" s="243"/>
      <c r="G282" s="243"/>
      <c r="H282" s="243"/>
      <c r="I282" s="243"/>
      <c r="J282" s="243"/>
      <c r="K282" s="259"/>
      <c r="L282" s="259"/>
    </row>
    <row r="283" spans="1:12" x14ac:dyDescent="0.2">
      <c r="A283" s="182"/>
      <c r="B283" s="201"/>
      <c r="C283" s="244"/>
      <c r="D283" s="244"/>
      <c r="E283" s="244"/>
      <c r="F283" s="244"/>
      <c r="G283" s="244"/>
      <c r="H283" s="244"/>
      <c r="I283" s="244"/>
      <c r="J283" s="244"/>
      <c r="K283" s="244"/>
      <c r="L283" s="244"/>
    </row>
    <row r="284" spans="1:12" x14ac:dyDescent="0.2">
      <c r="A284" s="182"/>
      <c r="B284" s="201"/>
      <c r="C284" s="244"/>
      <c r="D284" s="244"/>
      <c r="E284" s="244"/>
      <c r="F284" s="244"/>
      <c r="G284" s="244"/>
      <c r="H284" s="244"/>
      <c r="I284" s="244"/>
      <c r="J284" s="244"/>
      <c r="K284" s="244"/>
      <c r="L284" s="244"/>
    </row>
    <row r="285" spans="1:12" x14ac:dyDescent="0.2">
      <c r="A285" s="182"/>
      <c r="B285" s="201"/>
      <c r="C285" s="244"/>
      <c r="D285" s="244"/>
      <c r="E285" s="244"/>
      <c r="F285" s="244"/>
      <c r="G285" s="244"/>
      <c r="H285" s="244"/>
      <c r="I285" s="244"/>
      <c r="J285" s="244"/>
      <c r="K285" s="244"/>
      <c r="L285" s="244"/>
    </row>
    <row r="286" spans="1:12" x14ac:dyDescent="0.2">
      <c r="A286" s="182"/>
      <c r="B286" s="201"/>
      <c r="C286" s="244"/>
      <c r="E286" s="300"/>
    </row>
    <row r="287" spans="1:12" x14ac:dyDescent="0.2">
      <c r="A287" s="182"/>
      <c r="B287" s="201"/>
      <c r="C287" s="244"/>
      <c r="E287" s="300"/>
    </row>
    <row r="288" spans="1:12" x14ac:dyDescent="0.2">
      <c r="A288" s="182"/>
      <c r="B288" s="201"/>
      <c r="C288" s="300"/>
      <c r="E288" s="300"/>
    </row>
    <row r="289" spans="1:12" x14ac:dyDescent="0.2">
      <c r="A289" s="182"/>
      <c r="C289" s="176"/>
      <c r="D289" s="176"/>
      <c r="E289" s="176"/>
      <c r="F289" s="176"/>
      <c r="G289" s="176"/>
      <c r="H289" s="176"/>
      <c r="I289" s="176"/>
      <c r="J289" s="176"/>
      <c r="K289" s="176"/>
      <c r="L289" s="176"/>
    </row>
    <row r="290" spans="1:12" x14ac:dyDescent="0.2">
      <c r="A290" s="182"/>
    </row>
    <row r="291" spans="1:12" x14ac:dyDescent="0.2">
      <c r="A291" s="182"/>
      <c r="B291" s="201"/>
      <c r="C291" s="243"/>
      <c r="D291" s="243"/>
      <c r="E291" s="243"/>
      <c r="F291" s="243"/>
      <c r="G291" s="243"/>
      <c r="H291" s="243"/>
      <c r="I291" s="243"/>
      <c r="J291" s="243"/>
      <c r="K291" s="243"/>
      <c r="L291" s="243"/>
    </row>
    <row r="292" spans="1:12" x14ac:dyDescent="0.2">
      <c r="A292" s="182"/>
      <c r="B292" s="201"/>
      <c r="C292" s="243"/>
      <c r="D292" s="243"/>
      <c r="E292" s="243"/>
      <c r="F292" s="243"/>
      <c r="G292" s="243"/>
      <c r="H292" s="243"/>
      <c r="I292" s="243"/>
      <c r="J292" s="243"/>
      <c r="K292" s="243"/>
      <c r="L292" s="243"/>
    </row>
    <row r="293" spans="1:12" x14ac:dyDescent="0.2">
      <c r="A293" s="182"/>
      <c r="B293" s="201"/>
      <c r="C293" s="244"/>
      <c r="D293" s="244"/>
      <c r="E293" s="244"/>
      <c r="F293" s="244"/>
      <c r="G293" s="244"/>
      <c r="H293" s="244"/>
      <c r="I293" s="244"/>
      <c r="J293" s="243"/>
      <c r="K293" s="243"/>
      <c r="L293" s="243"/>
    </row>
    <row r="294" spans="1:12" x14ac:dyDescent="0.2">
      <c r="A294" s="182"/>
      <c r="C294" s="300"/>
      <c r="D294" s="300"/>
      <c r="E294" s="300"/>
      <c r="F294" s="300"/>
      <c r="G294" s="300"/>
      <c r="H294" s="300"/>
      <c r="I294" s="300"/>
      <c r="J294" s="300"/>
      <c r="K294" s="300"/>
      <c r="L294" s="300"/>
    </row>
    <row r="295" spans="1:12" x14ac:dyDescent="0.2">
      <c r="A295" s="182"/>
      <c r="B295" s="201"/>
      <c r="C295" s="244"/>
    </row>
    <row r="296" spans="1:12" x14ac:dyDescent="0.2">
      <c r="A296" s="182"/>
      <c r="B296" s="201"/>
      <c r="C296" s="244"/>
    </row>
    <row r="297" spans="1:12" x14ac:dyDescent="0.2">
      <c r="A297" s="182"/>
      <c r="B297" s="201"/>
      <c r="C297" s="244"/>
    </row>
    <row r="298" spans="1:12" x14ac:dyDescent="0.2">
      <c r="A298" s="182"/>
      <c r="C298" s="300"/>
      <c r="E298" s="300"/>
    </row>
    <row r="299" spans="1:12" x14ac:dyDescent="0.2">
      <c r="B299" s="208"/>
      <c r="C299" s="244"/>
    </row>
    <row r="303" spans="1:12" x14ac:dyDescent="0.2">
      <c r="A303" s="180"/>
      <c r="B303" s="178"/>
      <c r="C303" s="233"/>
    </row>
    <row r="304" spans="1:12" x14ac:dyDescent="0.2">
      <c r="B304" s="179"/>
    </row>
    <row r="305" spans="1:10" x14ac:dyDescent="0.2">
      <c r="B305" s="201"/>
      <c r="C305" s="205"/>
    </row>
    <row r="306" spans="1:10" x14ac:dyDescent="0.2">
      <c r="B306" s="201"/>
      <c r="C306" s="260"/>
    </row>
    <row r="307" spans="1:10" x14ac:dyDescent="0.2">
      <c r="B307" s="201"/>
      <c r="C307" s="205"/>
    </row>
    <row r="309" spans="1:10" outlineLevel="1" x14ac:dyDescent="0.2">
      <c r="A309" s="261"/>
    </row>
    <row r="310" spans="1:10" outlineLevel="1" x14ac:dyDescent="0.2">
      <c r="A310" s="180"/>
      <c r="B310" s="178"/>
    </row>
    <row r="311" spans="1:10" outlineLevel="1" x14ac:dyDescent="0.2"/>
    <row r="312" spans="1:10" outlineLevel="1" x14ac:dyDescent="0.2">
      <c r="A312" s="175"/>
      <c r="C312" s="262"/>
      <c r="D312" s="262"/>
      <c r="E312" s="262"/>
    </row>
    <row r="313" spans="1:10" outlineLevel="1" x14ac:dyDescent="0.2">
      <c r="A313" s="175"/>
      <c r="C313" s="263"/>
      <c r="D313" s="263"/>
      <c r="E313" s="263"/>
    </row>
    <row r="314" spans="1:10" outlineLevel="1" x14ac:dyDescent="0.2">
      <c r="A314" s="175"/>
      <c r="C314" s="238"/>
      <c r="D314" s="238"/>
      <c r="E314" s="238"/>
      <c r="F314" s="238"/>
      <c r="G314" s="238"/>
    </row>
    <row r="315" spans="1:10" outlineLevel="1" x14ac:dyDescent="0.2">
      <c r="A315" s="175"/>
    </row>
    <row r="316" spans="1:10" outlineLevel="1" x14ac:dyDescent="0.2">
      <c r="A316" s="175"/>
      <c r="C316" s="238"/>
      <c r="D316" s="238"/>
      <c r="E316" s="238"/>
      <c r="F316" s="238"/>
    </row>
    <row r="317" spans="1:10" outlineLevel="1" x14ac:dyDescent="0.2">
      <c r="A317" s="175"/>
    </row>
    <row r="318" spans="1:10" outlineLevel="1" x14ac:dyDescent="0.2">
      <c r="A318" s="175"/>
      <c r="C318" s="176"/>
      <c r="D318" s="176"/>
      <c r="E318" s="176"/>
      <c r="F318" s="176"/>
      <c r="G318" s="176"/>
      <c r="H318" s="176"/>
      <c r="I318" s="176"/>
      <c r="J318" s="176"/>
    </row>
    <row r="319" spans="1:10" outlineLevel="1" x14ac:dyDescent="0.2">
      <c r="A319" s="175"/>
      <c r="C319" s="264"/>
      <c r="D319" s="264"/>
      <c r="E319" s="264"/>
      <c r="F319" s="264"/>
      <c r="G319" s="264"/>
      <c r="H319" s="264"/>
      <c r="I319" s="264"/>
      <c r="J319" s="264"/>
    </row>
    <row r="320" spans="1:10" outlineLevel="1" x14ac:dyDescent="0.2">
      <c r="A320" s="175"/>
      <c r="C320" s="205"/>
      <c r="D320" s="205"/>
      <c r="E320" s="205"/>
      <c r="F320" s="205"/>
      <c r="G320" s="205"/>
      <c r="H320" s="205"/>
      <c r="I320" s="205"/>
      <c r="J320" s="205"/>
    </row>
    <row r="321" spans="1:12" outlineLevel="1" x14ac:dyDescent="0.2">
      <c r="A321" s="175"/>
    </row>
    <row r="322" spans="1:12" outlineLevel="1" x14ac:dyDescent="0.2">
      <c r="A322" s="175"/>
    </row>
    <row r="323" spans="1:12" outlineLevel="1" x14ac:dyDescent="0.2">
      <c r="A323" s="175"/>
    </row>
    <row r="324" spans="1:12" outlineLevel="1" x14ac:dyDescent="0.2">
      <c r="A324" s="175"/>
      <c r="C324" s="176"/>
      <c r="D324" s="176"/>
    </row>
    <row r="325" spans="1:12" outlineLevel="1" x14ac:dyDescent="0.2">
      <c r="A325" s="175"/>
      <c r="C325" s="238"/>
      <c r="D325" s="238"/>
    </row>
    <row r="326" spans="1:12" outlineLevel="1" x14ac:dyDescent="0.2">
      <c r="A326" s="175"/>
      <c r="C326" s="241"/>
      <c r="D326" s="241"/>
    </row>
    <row r="327" spans="1:12" outlineLevel="1" x14ac:dyDescent="0.2">
      <c r="A327" s="175"/>
      <c r="C327" s="238"/>
      <c r="D327" s="238"/>
    </row>
    <row r="328" spans="1:12" outlineLevel="1" x14ac:dyDescent="0.2">
      <c r="C328" s="238"/>
      <c r="D328" s="238"/>
    </row>
    <row r="329" spans="1:12" outlineLevel="1" x14ac:dyDescent="0.2">
      <c r="C329" s="241"/>
      <c r="D329" s="241"/>
    </row>
    <row r="330" spans="1:12" outlineLevel="1" x14ac:dyDescent="0.2"/>
    <row r="331" spans="1:12" outlineLevel="1" x14ac:dyDescent="0.2">
      <c r="C331" s="241"/>
      <c r="D331" s="241"/>
    </row>
    <row r="332" spans="1:12" outlineLevel="1" x14ac:dyDescent="0.2"/>
    <row r="333" spans="1:12" outlineLevel="1" x14ac:dyDescent="0.2">
      <c r="C333" s="241"/>
    </row>
    <row r="334" spans="1:12" outlineLevel="1" x14ac:dyDescent="0.2">
      <c r="A334" s="180"/>
      <c r="B334" s="178"/>
    </row>
    <row r="335" spans="1:12" outlineLevel="1" x14ac:dyDescent="0.2"/>
    <row r="336" spans="1:12" outlineLevel="1" x14ac:dyDescent="0.2">
      <c r="C336" s="176"/>
      <c r="D336" s="176"/>
      <c r="E336" s="176"/>
      <c r="F336" s="176"/>
      <c r="G336" s="176"/>
      <c r="H336" s="176"/>
      <c r="I336" s="176"/>
      <c r="J336" s="176"/>
      <c r="K336" s="176"/>
      <c r="L336" s="176"/>
    </row>
    <row r="337" spans="1:12" outlineLevel="1" x14ac:dyDescent="0.2">
      <c r="C337" s="176"/>
      <c r="D337" s="176"/>
      <c r="E337" s="176"/>
      <c r="F337" s="176"/>
      <c r="G337" s="176"/>
      <c r="H337" s="176"/>
      <c r="I337" s="176"/>
      <c r="J337" s="176"/>
      <c r="K337" s="176"/>
      <c r="L337" s="176"/>
    </row>
    <row r="338" spans="1:12" outlineLevel="1" x14ac:dyDescent="0.2">
      <c r="B338" s="201"/>
    </row>
    <row r="339" spans="1:12" outlineLevel="1" x14ac:dyDescent="0.2">
      <c r="B339" s="201"/>
      <c r="C339" s="238"/>
      <c r="D339" s="238"/>
      <c r="E339" s="238"/>
      <c r="F339" s="238"/>
      <c r="G339" s="238"/>
      <c r="H339" s="238"/>
      <c r="I339" s="238"/>
      <c r="J339" s="238"/>
    </row>
    <row r="340" spans="1:12" outlineLevel="1" x14ac:dyDescent="0.2">
      <c r="B340" s="201"/>
    </row>
    <row r="341" spans="1:12" outlineLevel="1" x14ac:dyDescent="0.2">
      <c r="A341" s="175"/>
      <c r="B341" s="201"/>
      <c r="C341" s="176"/>
      <c r="D341" s="176"/>
    </row>
    <row r="342" spans="1:12" outlineLevel="1" x14ac:dyDescent="0.2">
      <c r="A342" s="175"/>
      <c r="B342" s="201"/>
      <c r="C342" s="227"/>
      <c r="D342" s="227"/>
    </row>
    <row r="343" spans="1:12" outlineLevel="1" x14ac:dyDescent="0.2">
      <c r="A343" s="175"/>
      <c r="B343" s="201"/>
      <c r="C343" s="241"/>
      <c r="D343" s="241"/>
    </row>
    <row r="344" spans="1:12" outlineLevel="1" x14ac:dyDescent="0.2">
      <c r="A344" s="175"/>
      <c r="B344" s="201"/>
      <c r="C344" s="240"/>
      <c r="D344" s="240"/>
    </row>
    <row r="345" spans="1:12" outlineLevel="1" x14ac:dyDescent="0.2">
      <c r="A345" s="175"/>
      <c r="B345" s="201"/>
    </row>
    <row r="346" spans="1:12" outlineLevel="1" x14ac:dyDescent="0.2">
      <c r="A346" s="175"/>
      <c r="B346" s="201"/>
    </row>
    <row r="347" spans="1:12" outlineLevel="1" x14ac:dyDescent="0.2">
      <c r="A347" s="175"/>
      <c r="B347" s="201"/>
      <c r="C347" s="238"/>
    </row>
    <row r="348" spans="1:12" outlineLevel="1" x14ac:dyDescent="0.2">
      <c r="A348" s="175"/>
      <c r="B348" s="201"/>
      <c r="C348" s="238"/>
    </row>
    <row r="349" spans="1:12" outlineLevel="1" x14ac:dyDescent="0.2">
      <c r="A349" s="175"/>
      <c r="B349" s="201"/>
      <c r="C349" s="238"/>
    </row>
    <row r="350" spans="1:12" outlineLevel="1" x14ac:dyDescent="0.2">
      <c r="A350" s="175"/>
      <c r="B350" s="201"/>
      <c r="C350" s="238"/>
    </row>
    <row r="351" spans="1:12" outlineLevel="1" x14ac:dyDescent="0.2">
      <c r="A351" s="175"/>
      <c r="C351" s="176"/>
      <c r="D351" s="176"/>
      <c r="E351" s="176"/>
      <c r="F351" s="176"/>
      <c r="G351" s="176"/>
      <c r="H351" s="176"/>
      <c r="I351" s="176"/>
      <c r="J351" s="176"/>
      <c r="K351" s="176"/>
      <c r="L351" s="176"/>
    </row>
    <row r="352" spans="1:12" outlineLevel="1" x14ac:dyDescent="0.2">
      <c r="A352" s="175"/>
      <c r="C352" s="176"/>
      <c r="D352" s="176"/>
      <c r="E352" s="176"/>
      <c r="F352" s="176"/>
      <c r="G352" s="176"/>
      <c r="H352" s="176"/>
      <c r="I352" s="176"/>
      <c r="J352" s="176"/>
      <c r="K352" s="176"/>
      <c r="L352" s="176"/>
    </row>
    <row r="353" spans="1:12" outlineLevel="1" x14ac:dyDescent="0.2">
      <c r="A353" s="175"/>
      <c r="B353" s="201"/>
      <c r="C353" s="227"/>
      <c r="D353" s="227"/>
      <c r="E353" s="227"/>
      <c r="F353" s="227"/>
      <c r="G353" s="227"/>
      <c r="H353" s="227"/>
      <c r="I353" s="227"/>
      <c r="J353" s="227"/>
      <c r="K353" s="227"/>
      <c r="L353" s="227"/>
    </row>
    <row r="354" spans="1:12" outlineLevel="1" x14ac:dyDescent="0.2">
      <c r="A354" s="175"/>
      <c r="B354" s="201"/>
      <c r="C354" s="238"/>
      <c r="D354" s="238"/>
      <c r="E354" s="238"/>
      <c r="F354" s="238"/>
      <c r="G354" s="238"/>
      <c r="H354" s="238"/>
      <c r="I354" s="238"/>
      <c r="J354" s="238"/>
      <c r="K354" s="238"/>
      <c r="L354" s="238"/>
    </row>
    <row r="355" spans="1:12" outlineLevel="1" x14ac:dyDescent="0.2">
      <c r="A355" s="175"/>
      <c r="B355" s="201"/>
      <c r="C355" s="238"/>
      <c r="D355" s="238"/>
      <c r="E355" s="238"/>
      <c r="F355" s="238"/>
      <c r="G355" s="238"/>
      <c r="H355" s="238"/>
      <c r="I355" s="238"/>
      <c r="J355" s="238"/>
      <c r="K355" s="238"/>
      <c r="L355" s="238"/>
    </row>
    <row r="356" spans="1:12" outlineLevel="1" x14ac:dyDescent="0.2">
      <c r="A356" s="175"/>
      <c r="B356" s="201"/>
      <c r="C356" s="238"/>
      <c r="D356" s="238"/>
      <c r="E356" s="238"/>
      <c r="F356" s="238"/>
      <c r="G356" s="238"/>
      <c r="H356" s="238"/>
      <c r="I356" s="238"/>
      <c r="J356" s="238"/>
      <c r="K356" s="238"/>
      <c r="L356" s="238"/>
    </row>
    <row r="357" spans="1:12" outlineLevel="1" x14ac:dyDescent="0.2">
      <c r="B357" s="201"/>
      <c r="C357" s="238"/>
      <c r="D357" s="238"/>
      <c r="E357" s="238"/>
      <c r="F357" s="238"/>
      <c r="G357" s="238"/>
      <c r="H357" s="238"/>
      <c r="I357" s="238"/>
      <c r="J357" s="238"/>
      <c r="K357" s="238"/>
      <c r="L357" s="238"/>
    </row>
    <row r="358" spans="1:12" outlineLevel="1" x14ac:dyDescent="0.2">
      <c r="B358" s="201"/>
      <c r="C358" s="238"/>
      <c r="D358" s="238"/>
      <c r="E358" s="238"/>
      <c r="F358" s="238"/>
      <c r="G358" s="238"/>
      <c r="H358" s="238"/>
      <c r="I358" s="238"/>
      <c r="J358" s="238"/>
      <c r="K358" s="238"/>
      <c r="L358" s="238"/>
    </row>
    <row r="359" spans="1:12" outlineLevel="1" x14ac:dyDescent="0.2">
      <c r="B359" s="201"/>
      <c r="C359" s="238"/>
      <c r="D359" s="238"/>
      <c r="E359" s="238"/>
      <c r="F359" s="238"/>
      <c r="G359" s="238"/>
      <c r="H359" s="238"/>
      <c r="I359" s="238"/>
      <c r="J359" s="238"/>
      <c r="K359" s="238"/>
      <c r="L359" s="238"/>
    </row>
    <row r="360" spans="1:12" outlineLevel="1" x14ac:dyDescent="0.2">
      <c r="B360" s="201"/>
      <c r="C360" s="238"/>
    </row>
    <row r="361" spans="1:12" outlineLevel="1" x14ac:dyDescent="0.2">
      <c r="B361" s="201"/>
      <c r="C361" s="238"/>
    </row>
    <row r="362" spans="1:12" outlineLevel="1" x14ac:dyDescent="0.2"/>
    <row r="363" spans="1:12" outlineLevel="1" x14ac:dyDescent="0.2">
      <c r="B363" s="208"/>
      <c r="C363" s="244"/>
    </row>
    <row r="364" spans="1:12" outlineLevel="1" x14ac:dyDescent="0.2"/>
    <row r="365" spans="1:12" outlineLevel="1" x14ac:dyDescent="0.2"/>
    <row r="366" spans="1:12" outlineLevel="1" x14ac:dyDescent="0.2"/>
    <row r="367" spans="1:12" outlineLevel="1" x14ac:dyDescent="0.2"/>
    <row r="368" spans="1:12" outlineLevel="1" x14ac:dyDescent="0.2">
      <c r="A368" s="265"/>
    </row>
    <row r="369" spans="1:4" outlineLevel="1" x14ac:dyDescent="0.2">
      <c r="A369" s="208"/>
      <c r="C369" s="306"/>
    </row>
    <row r="370" spans="1:4" outlineLevel="1" x14ac:dyDescent="0.2">
      <c r="A370" s="208"/>
      <c r="C370" s="307"/>
    </row>
    <row r="371" spans="1:4" outlineLevel="1" x14ac:dyDescent="0.2">
      <c r="A371" s="208"/>
      <c r="C371" s="307"/>
    </row>
    <row r="372" spans="1:4" outlineLevel="1" x14ac:dyDescent="0.2">
      <c r="A372" s="208"/>
      <c r="C372" s="266"/>
      <c r="D372" s="221"/>
    </row>
    <row r="373" spans="1:4" outlineLevel="1" x14ac:dyDescent="0.2">
      <c r="A373" s="208"/>
      <c r="C373" s="229"/>
    </row>
    <row r="374" spans="1:4" outlineLevel="1" x14ac:dyDescent="0.2">
      <c r="A374" s="208"/>
      <c r="C374" s="267"/>
      <c r="D374" s="221"/>
    </row>
    <row r="375" spans="1:4" outlineLevel="1" x14ac:dyDescent="0.2"/>
    <row r="376" spans="1:4" outlineLevel="1" x14ac:dyDescent="0.2"/>
    <row r="377" spans="1:4" outlineLevel="1" x14ac:dyDescent="0.2">
      <c r="A377" s="208"/>
      <c r="C377" s="227"/>
      <c r="D377" s="221"/>
    </row>
    <row r="378" spans="1:4" outlineLevel="1" x14ac:dyDescent="0.2">
      <c r="A378" s="208"/>
      <c r="C378" s="268"/>
      <c r="D378" s="221"/>
    </row>
    <row r="379" spans="1:4" outlineLevel="1" x14ac:dyDescent="0.2"/>
    <row r="380" spans="1:4" outlineLevel="1" x14ac:dyDescent="0.2">
      <c r="A380" s="214"/>
      <c r="C380" s="228"/>
    </row>
    <row r="381" spans="1:4" outlineLevel="1" x14ac:dyDescent="0.2">
      <c r="A381" s="214"/>
      <c r="C381" s="268"/>
      <c r="D381" s="221"/>
    </row>
    <row r="382" spans="1:4" outlineLevel="1" x14ac:dyDescent="0.2">
      <c r="A382" s="214"/>
    </row>
    <row r="383" spans="1:4" outlineLevel="1" x14ac:dyDescent="0.2">
      <c r="A383" s="214"/>
      <c r="C383" s="268"/>
      <c r="D383" s="221"/>
    </row>
    <row r="384" spans="1:4" outlineLevel="1" x14ac:dyDescent="0.2">
      <c r="A384" s="214"/>
      <c r="C384" s="268"/>
    </row>
    <row r="385" spans="1:3" outlineLevel="1" x14ac:dyDescent="0.2">
      <c r="A385" s="214"/>
      <c r="C385" s="268"/>
    </row>
    <row r="386" spans="1:3" x14ac:dyDescent="0.2">
      <c r="A386" s="214"/>
    </row>
    <row r="387" spans="1:3" x14ac:dyDescent="0.2">
      <c r="A387" s="214"/>
    </row>
    <row r="388" spans="1:3" x14ac:dyDescent="0.2">
      <c r="A388" s="214"/>
    </row>
    <row r="389" spans="1:3" x14ac:dyDescent="0.2">
      <c r="A389" s="214"/>
    </row>
    <row r="392" spans="1:3" x14ac:dyDescent="0.2">
      <c r="A392" s="175"/>
    </row>
    <row r="393" spans="1:3" x14ac:dyDescent="0.2">
      <c r="A393" s="175"/>
    </row>
    <row r="394" spans="1:3" x14ac:dyDescent="0.2">
      <c r="A394" s="175"/>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5">
    <mergeCell ref="C113:D113"/>
    <mergeCell ref="C114:D114"/>
    <mergeCell ref="C115:D115"/>
    <mergeCell ref="F78:G78"/>
    <mergeCell ref="B1:M5"/>
  </mergeCells>
  <hyperlinks>
    <hyperlink ref="P10" r:id="rId5" display="\\njnwkfp06\PSE&amp;G\Customer Operations\CS\regulato\2015 BGS-RSCP for 2016-2017\2015-07 Initial Filing\BGS-FP Initial Filing Supporting Documents\Table1&amp;2 - OnPeak%\Table 1 - Time period usage for 2016-17 Spreadsheet.xls"/>
    <hyperlink ref="P28" r:id="rId6" display="\\njnwkfp06\PSE&amp;G\Customer Operations\CS\regulato\2015 BGS-RSCP for 2016-2017\2015-07 Initial Filing\BGS-FP Initial Filing Supporting Documents\Table1&amp;2 - OnPeak%\Table 2 - 001.2014 - 012.2014 KWH (RLM, LPLS-H-O).xls"/>
    <hyperlink ref="P46" r:id="rId7" display="\\njnwkfp06\PSE&amp;G\Customer Operations\CS\regulato\2015 BGS-RSCP for 2016-2017\2015-07 Initial Filing\BGS-FP Initial Filing Supporting Documents\Table3 - kWh forecast\Net Sales Forecast used in 15-16 BGS.xls"/>
    <hyperlink ref="P63" r:id="rId8" display="\\njnwkfp06\PSE&amp;G\Customer Operations\CS\regulato\2015 BGS-RSCP for 2016-2017\2015-07 Initial Filing\BGS-FP Initial Filing Supporting Documents\Table3 - kWh forecast\LPLS Split Mar 2015.xls"/>
    <hyperlink ref="P70" r:id="rId9" display="\\njnwkfp06\PSE&amp;G\Customer Operations\CS\regulato\2015 BGS-RSCP for 2016-2017\2015-07 Initial Filing\BGS-FP Initial Filing Supporting Documents\Table4&amp;5&amp;6 - NERA Inputs\2016 Inputs to FP Pricing_3 JUN 2015_DRAFT.xlsx"/>
    <hyperlink ref="P91" r:id="rId10" display="\\njnwkfp06\PSE&amp;G\Customer Operations\CS\regulato\2015 BGS-RSCP for 2016-2017\2015-07 Initial Filing\BGS-FP Initial Filing Supporting Documents\Table4&amp;5&amp;6 - NERA Inputs\2016 Inputs to FP Pricing_3 JUN 2015_DRAFT.xlsx"/>
    <hyperlink ref="P100" r:id="rId11" display="\\njnwkfp06\PSE&amp;G\Customer Operations\CS\regulato\2015 BGS-RSCP for 2016-2017\2015-07 Initial Filing\BGS-FP Initial Filing Supporting Documents\Table10 - Gen and Trans Obs\CAP AND TRAN LOADS FOR 2015 For Myron - Copy.xls"/>
    <hyperlink ref="P108" r:id="rId12" display="\\njnwkfp06\PSE&amp;G\Customer Operations\CS\regulato\2014 BGS-FP for 2015-2016\BGS-FP Bid Factors for 2015-16FINAL(02-13-15).xlsx"/>
    <hyperlink ref="P113" r:id="rId13" display="\\njnwkfp06\PSE&amp;G\Customer Operations\CS\regulato\2015 BGS-RSCP for 2016-2017\2015-07 Initial Filing\BGS-FP Initial Filing Supporting Documents\Table4&amp;5&amp;6 - NERA Inputs\2016 Inputs to FP Pricing_3 JUN 2015_DRAFT.xlsx"/>
    <hyperlink ref="P122" r:id="rId14" display="\\njnwkfp06\PSE&amp;G\Customer Operations\CS\regulato\2015 BGS-RSCP for 2016-2017\2015-07 Initial Filing\BGS-FP Initial Filing Supporting Documents\Table4&amp;5&amp;6 - NERA Inputs\2016 Inputs to FP Pricing_3 JUN 2015_DRAFT.xlsx"/>
    <hyperlink ref="P135" r:id="rId15" display="\\njnwkfp06\PSE&amp;G\Customer Operations\CS\regulato\2014 BGS-FP for 2015-2016\BGS-FP Bid Factors for 2015-16FINAL(02-13-15).xlsx"/>
  </hyperlinks>
  <pageMargins left="0.7" right="0.7" top="0.75" bottom="0.75" header="0.3" footer="0.3"/>
  <pageSetup scale="52" orientation="portrait" r:id="rId16"/>
  <colBreaks count="1" manualBreakCount="1">
    <brk id="12" max="1048575" man="1"/>
  </colBreaks>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354"/>
  <sheetViews>
    <sheetView zoomScaleNormal="100" workbookViewId="0">
      <selection activeCell="B2" sqref="B2"/>
    </sheetView>
  </sheetViews>
  <sheetFormatPr defaultColWidth="9.140625" defaultRowHeight="12.75" x14ac:dyDescent="0.2"/>
  <cols>
    <col min="1" max="1" width="13.140625" style="4" customWidth="1"/>
    <col min="2" max="2" width="36.28515625" style="1" customWidth="1"/>
    <col min="3" max="3" width="13.42578125" style="1" customWidth="1"/>
    <col min="4" max="4" width="12.5703125" style="1" customWidth="1"/>
    <col min="5" max="5" width="11.5703125" style="1" customWidth="1"/>
    <col min="6" max="6" width="12.7109375" style="1" customWidth="1"/>
    <col min="7" max="8" width="10.7109375" style="1" customWidth="1"/>
    <col min="9" max="9" width="11" style="1" customWidth="1"/>
    <col min="10" max="10" width="10.7109375" style="1" customWidth="1"/>
    <col min="11" max="11" width="12.28515625" style="1" customWidth="1"/>
    <col min="12" max="12" width="12.42578125" style="1" customWidth="1"/>
    <col min="13" max="13" width="16.5703125" style="1" customWidth="1"/>
    <col min="14" max="14" width="15.140625" style="1" bestFit="1" customWidth="1"/>
    <col min="15" max="16" width="11.5703125" style="1" customWidth="1"/>
    <col min="17" max="17" width="15.7109375" style="1" customWidth="1"/>
    <col min="18" max="18" width="29" style="1" bestFit="1" customWidth="1"/>
    <col min="19" max="19" width="16.42578125" style="1" customWidth="1"/>
    <col min="20" max="20" width="23.85546875" style="1" bestFit="1" customWidth="1"/>
    <col min="21" max="21" width="18" style="1" bestFit="1" customWidth="1"/>
    <col min="22" max="24" width="11.5703125" style="1" customWidth="1"/>
    <col min="25" max="25" width="11.28515625" style="1" bestFit="1" customWidth="1"/>
    <col min="26" max="26" width="10.140625" style="1" customWidth="1"/>
    <col min="27" max="27" width="10.7109375" style="1" customWidth="1"/>
    <col min="28" max="28" width="12.85546875" style="1" bestFit="1" customWidth="1"/>
    <col min="29" max="29" width="9.140625" style="1"/>
    <col min="30" max="30" width="17.5703125" style="1" customWidth="1"/>
    <col min="31" max="31" width="9.140625" style="1"/>
    <col min="32" max="32" width="10.28515625" style="1" bestFit="1" customWidth="1"/>
    <col min="33" max="33" width="10.5703125" style="1" customWidth="1"/>
    <col min="34" max="16384" width="9.140625" style="1"/>
  </cols>
  <sheetData>
    <row r="1" spans="1:24" x14ac:dyDescent="0.2">
      <c r="A1" s="4" t="s">
        <v>283</v>
      </c>
      <c r="C1" s="18"/>
      <c r="D1" s="18"/>
      <c r="E1" s="18"/>
      <c r="F1" s="18"/>
      <c r="G1" s="18"/>
      <c r="H1" s="18"/>
      <c r="I1" s="18"/>
      <c r="J1" s="18"/>
      <c r="K1" s="18"/>
      <c r="L1" s="18"/>
    </row>
    <row r="2" spans="1:24" ht="15.75" x14ac:dyDescent="0.25">
      <c r="B2" s="336" t="s">
        <v>389</v>
      </c>
      <c r="C2" s="11"/>
      <c r="D2" s="11"/>
      <c r="E2" s="11"/>
      <c r="F2" s="11"/>
    </row>
    <row r="3" spans="1:24" x14ac:dyDescent="0.2">
      <c r="A3" s="5"/>
      <c r="B3" s="6" t="s">
        <v>91</v>
      </c>
      <c r="C3" s="11"/>
      <c r="D3" s="11"/>
      <c r="E3" s="11"/>
      <c r="F3" s="11"/>
    </row>
    <row r="4" spans="1:24" x14ac:dyDescent="0.2">
      <c r="B4" s="11"/>
      <c r="C4" s="11"/>
      <c r="D4" s="11"/>
      <c r="E4" s="7" t="str">
        <f>+Input!E9</f>
        <v>Based on average of year 2014,2015 &amp; 2016 Load Profile Information</v>
      </c>
      <c r="F4" s="11"/>
    </row>
    <row r="5" spans="1:24" x14ac:dyDescent="0.2">
      <c r="A5" s="8" t="s">
        <v>64</v>
      </c>
      <c r="B5" s="9" t="s">
        <v>130</v>
      </c>
      <c r="C5" s="10"/>
      <c r="D5" s="11"/>
      <c r="E5" s="7" t="s">
        <v>60</v>
      </c>
      <c r="F5" s="11"/>
      <c r="N5" s="9"/>
      <c r="O5" s="9" t="s">
        <v>174</v>
      </c>
      <c r="P5" s="11"/>
      <c r="Q5" s="11"/>
      <c r="R5" s="11"/>
      <c r="S5" s="11"/>
      <c r="T5" s="11"/>
      <c r="U5" s="11"/>
      <c r="V5" s="11"/>
      <c r="W5" s="11"/>
      <c r="X5" s="11"/>
    </row>
    <row r="6" spans="1:24" ht="25.5" x14ac:dyDescent="0.2">
      <c r="A6" s="12"/>
      <c r="B6" s="11"/>
      <c r="C6" s="13" t="s">
        <v>50</v>
      </c>
      <c r="D6" s="13" t="s">
        <v>50</v>
      </c>
      <c r="E6" s="13" t="s">
        <v>50</v>
      </c>
      <c r="F6" s="13" t="s">
        <v>50</v>
      </c>
      <c r="G6" s="13" t="s">
        <v>50</v>
      </c>
      <c r="H6" s="13" t="s">
        <v>50</v>
      </c>
      <c r="I6" s="7" t="s">
        <v>96</v>
      </c>
      <c r="J6" s="14"/>
      <c r="K6" s="13" t="s">
        <v>50</v>
      </c>
      <c r="L6" s="13" t="s">
        <v>50</v>
      </c>
      <c r="M6" s="13"/>
      <c r="N6" s="7"/>
      <c r="O6" s="13" t="s">
        <v>50</v>
      </c>
      <c r="P6" s="13" t="s">
        <v>50</v>
      </c>
      <c r="Q6" s="13" t="s">
        <v>50</v>
      </c>
      <c r="R6" s="13" t="s">
        <v>50</v>
      </c>
      <c r="S6" s="13" t="s">
        <v>50</v>
      </c>
      <c r="T6" s="13" t="s">
        <v>50</v>
      </c>
      <c r="U6" s="7" t="s">
        <v>43</v>
      </c>
      <c r="V6" s="14"/>
      <c r="W6" s="13" t="s">
        <v>50</v>
      </c>
      <c r="X6" s="13" t="s">
        <v>50</v>
      </c>
    </row>
    <row r="7" spans="1:24" x14ac:dyDescent="0.2">
      <c r="A7" s="12"/>
      <c r="B7" s="15" t="s">
        <v>235</v>
      </c>
      <c r="C7" s="18" t="s">
        <v>0</v>
      </c>
      <c r="D7" s="18" t="s">
        <v>1</v>
      </c>
      <c r="E7" s="18" t="s">
        <v>2</v>
      </c>
      <c r="F7" s="18" t="s">
        <v>3</v>
      </c>
      <c r="G7" s="18" t="s">
        <v>4</v>
      </c>
      <c r="H7" s="18" t="s">
        <v>6</v>
      </c>
      <c r="I7" s="18" t="s">
        <v>37</v>
      </c>
      <c r="J7" s="18" t="s">
        <v>38</v>
      </c>
      <c r="K7" s="18" t="s">
        <v>5</v>
      </c>
      <c r="L7" s="18" t="s">
        <v>36</v>
      </c>
      <c r="M7" s="16"/>
      <c r="N7" s="17"/>
      <c r="O7" s="18" t="str">
        <f>+C7</f>
        <v>RS</v>
      </c>
      <c r="P7" s="18" t="str">
        <f t="shared" ref="P7:X7" si="0">+D7</f>
        <v>RHS</v>
      </c>
      <c r="Q7" s="18" t="str">
        <f t="shared" si="0"/>
        <v>RLM</v>
      </c>
      <c r="R7" s="18" t="str">
        <f t="shared" si="0"/>
        <v>WH</v>
      </c>
      <c r="S7" s="18" t="str">
        <f t="shared" si="0"/>
        <v>WHS</v>
      </c>
      <c r="T7" s="18" t="str">
        <f t="shared" si="0"/>
        <v>HS</v>
      </c>
      <c r="U7" s="18" t="str">
        <f t="shared" si="0"/>
        <v>PSAL</v>
      </c>
      <c r="V7" s="18" t="str">
        <f t="shared" si="0"/>
        <v>BPL</v>
      </c>
      <c r="W7" s="18" t="str">
        <f t="shared" si="0"/>
        <v>GLP</v>
      </c>
      <c r="X7" s="18" t="str">
        <f t="shared" si="0"/>
        <v>LPL-S</v>
      </c>
    </row>
    <row r="8" spans="1:24" x14ac:dyDescent="0.2">
      <c r="A8" s="12"/>
      <c r="C8" s="18"/>
      <c r="D8" s="18"/>
      <c r="E8" s="18"/>
      <c r="F8" s="18"/>
      <c r="G8" s="18"/>
      <c r="H8" s="18"/>
      <c r="I8" s="18"/>
      <c r="J8" s="18"/>
      <c r="K8" s="18"/>
      <c r="L8" s="18"/>
      <c r="O8" s="11"/>
      <c r="P8" s="11"/>
      <c r="Q8" s="11"/>
      <c r="R8" s="11"/>
      <c r="S8" s="11"/>
      <c r="T8" s="11"/>
      <c r="U8" s="11"/>
      <c r="V8" s="11"/>
      <c r="W8" s="11"/>
      <c r="X8" s="11"/>
    </row>
    <row r="9" spans="1:24" x14ac:dyDescent="0.2">
      <c r="A9" s="12"/>
      <c r="B9" s="19" t="s">
        <v>7</v>
      </c>
      <c r="C9" s="158">
        <f>Input!C14</f>
        <v>0.47570000000000001</v>
      </c>
      <c r="D9" s="158">
        <f>Input!D14</f>
        <v>0.46899999999999997</v>
      </c>
      <c r="E9" s="158">
        <f>Input!E14</f>
        <v>0.48270000000000002</v>
      </c>
      <c r="F9" s="158">
        <f>Input!F14</f>
        <v>0.43669999999999998</v>
      </c>
      <c r="G9" s="158">
        <f>Input!G14</f>
        <v>0.43669999999999998</v>
      </c>
      <c r="H9" s="158">
        <f>Input!H14</f>
        <v>0.4713</v>
      </c>
      <c r="I9" s="158">
        <f>Input!I14</f>
        <v>0.29970000000000002</v>
      </c>
      <c r="J9" s="158">
        <f>Input!J14</f>
        <v>0.29970000000000002</v>
      </c>
      <c r="K9" s="158">
        <f>Input!K14</f>
        <v>0.55600000000000005</v>
      </c>
      <c r="L9" s="158">
        <f>Input!L14</f>
        <v>0.53700000000000003</v>
      </c>
      <c r="M9" s="20"/>
      <c r="N9" s="21"/>
      <c r="O9" s="22">
        <f t="shared" ref="O9:X9" si="1">1-C9</f>
        <v>0.52429999999999999</v>
      </c>
      <c r="P9" s="22">
        <f t="shared" si="1"/>
        <v>0.53100000000000003</v>
      </c>
      <c r="Q9" s="22">
        <f t="shared" si="1"/>
        <v>0.51729999999999998</v>
      </c>
      <c r="R9" s="22">
        <f t="shared" si="1"/>
        <v>0.56330000000000002</v>
      </c>
      <c r="S9" s="22">
        <f t="shared" si="1"/>
        <v>0.56330000000000002</v>
      </c>
      <c r="T9" s="22">
        <f t="shared" si="1"/>
        <v>0.52869999999999995</v>
      </c>
      <c r="U9" s="22">
        <f t="shared" si="1"/>
        <v>0.70029999999999992</v>
      </c>
      <c r="V9" s="22">
        <f t="shared" si="1"/>
        <v>0.70029999999999992</v>
      </c>
      <c r="W9" s="22">
        <f t="shared" si="1"/>
        <v>0.44399999999999995</v>
      </c>
      <c r="X9" s="22">
        <f t="shared" si="1"/>
        <v>0.46299999999999997</v>
      </c>
    </row>
    <row r="10" spans="1:24" x14ac:dyDescent="0.2">
      <c r="A10" s="12"/>
      <c r="B10" s="19" t="s">
        <v>8</v>
      </c>
      <c r="C10" s="158">
        <f>Input!C15</f>
        <v>0.502</v>
      </c>
      <c r="D10" s="158">
        <f>Input!D15</f>
        <v>0.48499999999999999</v>
      </c>
      <c r="E10" s="158">
        <f>Input!E15</f>
        <v>0.50929999999999997</v>
      </c>
      <c r="F10" s="158">
        <f>Input!F15</f>
        <v>0.45269999999999999</v>
      </c>
      <c r="G10" s="158">
        <f>Input!G15</f>
        <v>0.45269999999999999</v>
      </c>
      <c r="H10" s="158">
        <f>Input!H15</f>
        <v>0.48530000000000001</v>
      </c>
      <c r="I10" s="158">
        <f>Input!I15</f>
        <v>0.29670000000000002</v>
      </c>
      <c r="J10" s="158">
        <f>Input!J15</f>
        <v>0.29670000000000002</v>
      </c>
      <c r="K10" s="158">
        <f>Input!K15</f>
        <v>0.57330000000000003</v>
      </c>
      <c r="L10" s="158">
        <f>Input!L15</f>
        <v>0.56030000000000002</v>
      </c>
      <c r="M10" s="20"/>
      <c r="N10" s="21"/>
      <c r="O10" s="22">
        <f t="shared" ref="O10:O20" si="2">1-C10</f>
        <v>0.498</v>
      </c>
      <c r="P10" s="22">
        <f t="shared" ref="P10:P20" si="3">1-D10</f>
        <v>0.51500000000000001</v>
      </c>
      <c r="Q10" s="22">
        <f t="shared" ref="Q10:Q20" si="4">1-E10</f>
        <v>0.49070000000000003</v>
      </c>
      <c r="R10" s="22">
        <f t="shared" ref="R10:R20" si="5">1-F10</f>
        <v>0.54730000000000001</v>
      </c>
      <c r="S10" s="22">
        <f t="shared" ref="S10:S20" si="6">1-G10</f>
        <v>0.54730000000000001</v>
      </c>
      <c r="T10" s="22">
        <f t="shared" ref="T10:T20" si="7">1-H10</f>
        <v>0.51469999999999994</v>
      </c>
      <c r="U10" s="22">
        <f t="shared" ref="U10:U20" si="8">1-I10</f>
        <v>0.70330000000000004</v>
      </c>
      <c r="V10" s="22">
        <f t="shared" ref="V10:V20" si="9">1-J10</f>
        <v>0.70330000000000004</v>
      </c>
      <c r="W10" s="22">
        <f t="shared" ref="W10:W20" si="10">1-K10</f>
        <v>0.42669999999999997</v>
      </c>
      <c r="X10" s="22">
        <f t="shared" ref="X10:X20" si="11">1-L10</f>
        <v>0.43969999999999998</v>
      </c>
    </row>
    <row r="11" spans="1:24" x14ac:dyDescent="0.2">
      <c r="A11" s="12"/>
      <c r="B11" s="19" t="s">
        <v>9</v>
      </c>
      <c r="C11" s="158">
        <f>Input!C16</f>
        <v>0.49199999999999999</v>
      </c>
      <c r="D11" s="158">
        <f>Input!D16</f>
        <v>0.48870000000000002</v>
      </c>
      <c r="E11" s="158">
        <f>Input!E16</f>
        <v>0.49930000000000002</v>
      </c>
      <c r="F11" s="158">
        <f>Input!F16</f>
        <v>0.46400000000000002</v>
      </c>
      <c r="G11" s="158">
        <f>Input!G16</f>
        <v>0.46400000000000002</v>
      </c>
      <c r="H11" s="158">
        <f>Input!H16</f>
        <v>0.47870000000000001</v>
      </c>
      <c r="I11" s="158">
        <f>Input!I16</f>
        <v>0.253</v>
      </c>
      <c r="J11" s="158">
        <f>Input!J16</f>
        <v>0.253</v>
      </c>
      <c r="K11" s="158">
        <f>Input!K16</f>
        <v>0.57730000000000004</v>
      </c>
      <c r="L11" s="158">
        <f>Input!L16</f>
        <v>0.56269999999999998</v>
      </c>
      <c r="M11" s="20"/>
      <c r="N11" s="21"/>
      <c r="O11" s="22">
        <f t="shared" si="2"/>
        <v>0.50800000000000001</v>
      </c>
      <c r="P11" s="22">
        <f t="shared" si="3"/>
        <v>0.51129999999999998</v>
      </c>
      <c r="Q11" s="22">
        <f t="shared" si="4"/>
        <v>0.50069999999999992</v>
      </c>
      <c r="R11" s="22">
        <f t="shared" si="5"/>
        <v>0.53600000000000003</v>
      </c>
      <c r="S11" s="22">
        <f t="shared" si="6"/>
        <v>0.53600000000000003</v>
      </c>
      <c r="T11" s="22">
        <f t="shared" si="7"/>
        <v>0.52129999999999999</v>
      </c>
      <c r="U11" s="22">
        <f t="shared" si="8"/>
        <v>0.747</v>
      </c>
      <c r="V11" s="22">
        <f t="shared" si="9"/>
        <v>0.747</v>
      </c>
      <c r="W11" s="22">
        <f t="shared" si="10"/>
        <v>0.42269999999999996</v>
      </c>
      <c r="X11" s="22">
        <f t="shared" si="11"/>
        <v>0.43730000000000002</v>
      </c>
    </row>
    <row r="12" spans="1:24" x14ac:dyDescent="0.2">
      <c r="A12" s="12"/>
      <c r="B12" s="19" t="s">
        <v>10</v>
      </c>
      <c r="C12" s="158">
        <f>Input!C17</f>
        <v>0.51029999999999998</v>
      </c>
      <c r="D12" s="158">
        <f>Input!D17</f>
        <v>0.51829999999999998</v>
      </c>
      <c r="E12" s="158">
        <f>Input!E17</f>
        <v>0.51670000000000005</v>
      </c>
      <c r="F12" s="158">
        <f>Input!F17</f>
        <v>0.46729999999999999</v>
      </c>
      <c r="G12" s="158">
        <f>Input!G17</f>
        <v>0.46729999999999999</v>
      </c>
      <c r="H12" s="158">
        <f>Input!H17</f>
        <v>0.50829999999999997</v>
      </c>
      <c r="I12" s="158">
        <f>Input!I17</f>
        <v>0.2293</v>
      </c>
      <c r="J12" s="158">
        <f>Input!J17</f>
        <v>0.2293</v>
      </c>
      <c r="K12" s="158">
        <f>Input!K17</f>
        <v>0.59499999999999997</v>
      </c>
      <c r="L12" s="158">
        <f>Input!L17</f>
        <v>0.58030000000000004</v>
      </c>
      <c r="M12" s="20"/>
      <c r="N12" s="21"/>
      <c r="O12" s="22">
        <f t="shared" si="2"/>
        <v>0.48970000000000002</v>
      </c>
      <c r="P12" s="22">
        <f t="shared" si="3"/>
        <v>0.48170000000000002</v>
      </c>
      <c r="Q12" s="22">
        <f t="shared" si="4"/>
        <v>0.48329999999999995</v>
      </c>
      <c r="R12" s="22">
        <f t="shared" si="5"/>
        <v>0.53269999999999995</v>
      </c>
      <c r="S12" s="22">
        <f t="shared" si="6"/>
        <v>0.53269999999999995</v>
      </c>
      <c r="T12" s="22">
        <f t="shared" si="7"/>
        <v>0.49170000000000003</v>
      </c>
      <c r="U12" s="22">
        <f t="shared" si="8"/>
        <v>0.77069999999999994</v>
      </c>
      <c r="V12" s="22">
        <f t="shared" si="9"/>
        <v>0.77069999999999994</v>
      </c>
      <c r="W12" s="22">
        <f t="shared" si="10"/>
        <v>0.40500000000000003</v>
      </c>
      <c r="X12" s="22">
        <f t="shared" si="11"/>
        <v>0.41969999999999996</v>
      </c>
    </row>
    <row r="13" spans="1:24" x14ac:dyDescent="0.2">
      <c r="A13" s="12"/>
      <c r="B13" s="19" t="s">
        <v>11</v>
      </c>
      <c r="C13" s="158">
        <f>Input!C18</f>
        <v>0.46800000000000003</v>
      </c>
      <c r="D13" s="158">
        <f>Input!D18</f>
        <v>0.48470000000000002</v>
      </c>
      <c r="E13" s="158">
        <f>Input!E18</f>
        <v>0.48270000000000002</v>
      </c>
      <c r="F13" s="158">
        <f>Input!F18</f>
        <v>0.42030000000000001</v>
      </c>
      <c r="G13" s="158">
        <f>Input!G18</f>
        <v>0.42030000000000001</v>
      </c>
      <c r="H13" s="158">
        <f>Input!H18</f>
        <v>0.54269999999999996</v>
      </c>
      <c r="I13" s="158">
        <f>Input!I18</f>
        <v>0.20200000000000001</v>
      </c>
      <c r="J13" s="158">
        <f>Input!J18</f>
        <v>0.20200000000000001</v>
      </c>
      <c r="K13" s="158">
        <f>Input!K18</f>
        <v>0.56699999999999995</v>
      </c>
      <c r="L13" s="158">
        <f>Input!L18</f>
        <v>0.55300000000000005</v>
      </c>
      <c r="M13" s="20"/>
      <c r="N13" s="21"/>
      <c r="O13" s="22">
        <f t="shared" si="2"/>
        <v>0.53200000000000003</v>
      </c>
      <c r="P13" s="22">
        <f t="shared" si="3"/>
        <v>0.51529999999999998</v>
      </c>
      <c r="Q13" s="22">
        <f t="shared" si="4"/>
        <v>0.51729999999999998</v>
      </c>
      <c r="R13" s="22">
        <f t="shared" si="5"/>
        <v>0.57969999999999999</v>
      </c>
      <c r="S13" s="22">
        <f t="shared" si="6"/>
        <v>0.57969999999999999</v>
      </c>
      <c r="T13" s="22">
        <f t="shared" si="7"/>
        <v>0.45730000000000004</v>
      </c>
      <c r="U13" s="22">
        <f t="shared" si="8"/>
        <v>0.79800000000000004</v>
      </c>
      <c r="V13" s="22">
        <f t="shared" si="9"/>
        <v>0.79800000000000004</v>
      </c>
      <c r="W13" s="22">
        <f t="shared" si="10"/>
        <v>0.43300000000000005</v>
      </c>
      <c r="X13" s="22">
        <f t="shared" si="11"/>
        <v>0.44699999999999995</v>
      </c>
    </row>
    <row r="14" spans="1:24" x14ac:dyDescent="0.2">
      <c r="A14" s="12"/>
      <c r="B14" s="19" t="s">
        <v>12</v>
      </c>
      <c r="C14" s="158">
        <f>Input!C19</f>
        <v>0.53369999999999995</v>
      </c>
      <c r="D14" s="158">
        <f>Input!D19</f>
        <v>0.54330000000000001</v>
      </c>
      <c r="E14" s="158">
        <f>Input!E19</f>
        <v>0.55430000000000001</v>
      </c>
      <c r="F14" s="158">
        <f>Input!F19</f>
        <v>0.46899999999999997</v>
      </c>
      <c r="G14" s="158">
        <f>Input!G19</f>
        <v>0.46899999999999997</v>
      </c>
      <c r="H14" s="158">
        <f>Input!H19</f>
        <v>0.64170000000000005</v>
      </c>
      <c r="I14" s="158">
        <f>Input!I19</f>
        <v>0.20369999999999999</v>
      </c>
      <c r="J14" s="158">
        <f>Input!J19</f>
        <v>0.20369999999999999</v>
      </c>
      <c r="K14" s="158">
        <f>Input!K19</f>
        <v>0.61429999999999996</v>
      </c>
      <c r="L14" s="158">
        <f>Input!L19</f>
        <v>0.59</v>
      </c>
      <c r="M14" s="20"/>
      <c r="N14" s="21"/>
      <c r="O14" s="22">
        <f t="shared" si="2"/>
        <v>0.46630000000000005</v>
      </c>
      <c r="P14" s="22">
        <f t="shared" si="3"/>
        <v>0.45669999999999999</v>
      </c>
      <c r="Q14" s="22">
        <f t="shared" si="4"/>
        <v>0.44569999999999999</v>
      </c>
      <c r="R14" s="22">
        <f t="shared" si="5"/>
        <v>0.53100000000000003</v>
      </c>
      <c r="S14" s="22">
        <f t="shared" si="6"/>
        <v>0.53100000000000003</v>
      </c>
      <c r="T14" s="22">
        <f t="shared" si="7"/>
        <v>0.35829999999999995</v>
      </c>
      <c r="U14" s="22">
        <f t="shared" si="8"/>
        <v>0.79630000000000001</v>
      </c>
      <c r="V14" s="22">
        <f t="shared" si="9"/>
        <v>0.79630000000000001</v>
      </c>
      <c r="W14" s="22">
        <f t="shared" si="10"/>
        <v>0.38570000000000004</v>
      </c>
      <c r="X14" s="22">
        <f t="shared" si="11"/>
        <v>0.41000000000000003</v>
      </c>
    </row>
    <row r="15" spans="1:24" x14ac:dyDescent="0.2">
      <c r="A15" s="12"/>
      <c r="B15" s="19" t="s">
        <v>13</v>
      </c>
      <c r="C15" s="158">
        <f>Input!C20</f>
        <v>0.52829999999999999</v>
      </c>
      <c r="D15" s="158">
        <f>Input!D20</f>
        <v>0.5353</v>
      </c>
      <c r="E15" s="158">
        <f>Input!E20</f>
        <v>0.54930000000000001</v>
      </c>
      <c r="F15" s="158">
        <f>Input!F20</f>
        <v>0.47799999999999998</v>
      </c>
      <c r="G15" s="158">
        <f>Input!G20</f>
        <v>0.47799999999999998</v>
      </c>
      <c r="H15" s="158">
        <f>Input!H20</f>
        <v>0.64400000000000002</v>
      </c>
      <c r="I15" s="158">
        <f>Input!I20</f>
        <v>0.1953</v>
      </c>
      <c r="J15" s="158">
        <f>Input!J20</f>
        <v>0.1953</v>
      </c>
      <c r="K15" s="158">
        <f>Input!K20</f>
        <v>0.6</v>
      </c>
      <c r="L15" s="158">
        <f>Input!L20</f>
        <v>0.56699999999999995</v>
      </c>
      <c r="M15" s="20"/>
      <c r="N15" s="21"/>
      <c r="O15" s="22">
        <f t="shared" si="2"/>
        <v>0.47170000000000001</v>
      </c>
      <c r="P15" s="22">
        <f t="shared" si="3"/>
        <v>0.4647</v>
      </c>
      <c r="Q15" s="22">
        <f t="shared" si="4"/>
        <v>0.45069999999999999</v>
      </c>
      <c r="R15" s="22">
        <f t="shared" si="5"/>
        <v>0.52200000000000002</v>
      </c>
      <c r="S15" s="22">
        <f t="shared" si="6"/>
        <v>0.52200000000000002</v>
      </c>
      <c r="T15" s="22">
        <f t="shared" si="7"/>
        <v>0.35599999999999998</v>
      </c>
      <c r="U15" s="22">
        <f t="shared" si="8"/>
        <v>0.80469999999999997</v>
      </c>
      <c r="V15" s="22">
        <f t="shared" si="9"/>
        <v>0.80469999999999997</v>
      </c>
      <c r="W15" s="22">
        <f t="shared" si="10"/>
        <v>0.4</v>
      </c>
      <c r="X15" s="22">
        <f t="shared" si="11"/>
        <v>0.43300000000000005</v>
      </c>
    </row>
    <row r="16" spans="1:24" x14ac:dyDescent="0.2">
      <c r="A16" s="12"/>
      <c r="B16" s="19" t="s">
        <v>14</v>
      </c>
      <c r="C16" s="158">
        <f>Input!C21</f>
        <v>0.51300000000000001</v>
      </c>
      <c r="D16" s="158">
        <f>Input!D21</f>
        <v>0.52600000000000002</v>
      </c>
      <c r="E16" s="158">
        <f>Input!E21</f>
        <v>0.5373</v>
      </c>
      <c r="F16" s="158">
        <f>Input!F21</f>
        <v>0.50370000000000004</v>
      </c>
      <c r="G16" s="158">
        <f>Input!G21</f>
        <v>0.50370000000000004</v>
      </c>
      <c r="H16" s="158">
        <f>Input!H21</f>
        <v>0.63270000000000004</v>
      </c>
      <c r="I16" s="158">
        <f>Input!I21</f>
        <v>0.21199999999999999</v>
      </c>
      <c r="J16" s="158">
        <f>Input!J21</f>
        <v>0.21199999999999999</v>
      </c>
      <c r="K16" s="158">
        <f>Input!K21</f>
        <v>0.59530000000000005</v>
      </c>
      <c r="L16" s="158">
        <f>Input!L21</f>
        <v>0.56069999999999998</v>
      </c>
      <c r="M16" s="20"/>
      <c r="N16" s="21"/>
      <c r="O16" s="22">
        <f t="shared" si="2"/>
        <v>0.48699999999999999</v>
      </c>
      <c r="P16" s="22">
        <f t="shared" si="3"/>
        <v>0.47399999999999998</v>
      </c>
      <c r="Q16" s="22">
        <f t="shared" si="4"/>
        <v>0.4627</v>
      </c>
      <c r="R16" s="22">
        <f t="shared" si="5"/>
        <v>0.49629999999999996</v>
      </c>
      <c r="S16" s="22">
        <f t="shared" si="6"/>
        <v>0.49629999999999996</v>
      </c>
      <c r="T16" s="22">
        <f t="shared" si="7"/>
        <v>0.36729999999999996</v>
      </c>
      <c r="U16" s="22">
        <f t="shared" si="8"/>
        <v>0.78800000000000003</v>
      </c>
      <c r="V16" s="22">
        <f t="shared" si="9"/>
        <v>0.78800000000000003</v>
      </c>
      <c r="W16" s="22">
        <f t="shared" si="10"/>
        <v>0.40469999999999995</v>
      </c>
      <c r="X16" s="22">
        <f t="shared" si="11"/>
        <v>0.43930000000000002</v>
      </c>
    </row>
    <row r="17" spans="1:24" x14ac:dyDescent="0.2">
      <c r="A17" s="12"/>
      <c r="B17" s="19" t="s">
        <v>15</v>
      </c>
      <c r="C17" s="158">
        <f>Input!C22</f>
        <v>0.502</v>
      </c>
      <c r="D17" s="158">
        <f>Input!D22</f>
        <v>0.52070000000000005</v>
      </c>
      <c r="E17" s="158">
        <f>Input!E22</f>
        <v>0.52500000000000002</v>
      </c>
      <c r="F17" s="158">
        <f>Input!F22</f>
        <v>0.48970000000000002</v>
      </c>
      <c r="G17" s="158">
        <f>Input!G22</f>
        <v>0.48970000000000002</v>
      </c>
      <c r="H17" s="158">
        <f>Input!H22</f>
        <v>0.63100000000000001</v>
      </c>
      <c r="I17" s="158">
        <f>Input!I22</f>
        <v>0.23769999999999999</v>
      </c>
      <c r="J17" s="158">
        <f>Input!J22</f>
        <v>0.23769999999999999</v>
      </c>
      <c r="K17" s="158">
        <f>Input!K22</f>
        <v>0.59699999999999998</v>
      </c>
      <c r="L17" s="158">
        <f>Input!L22</f>
        <v>0.56830000000000003</v>
      </c>
      <c r="M17" s="20"/>
      <c r="N17" s="21"/>
      <c r="O17" s="22">
        <f t="shared" si="2"/>
        <v>0.498</v>
      </c>
      <c r="P17" s="22">
        <f t="shared" si="3"/>
        <v>0.47929999999999995</v>
      </c>
      <c r="Q17" s="22">
        <f t="shared" si="4"/>
        <v>0.47499999999999998</v>
      </c>
      <c r="R17" s="22">
        <f t="shared" si="5"/>
        <v>0.51029999999999998</v>
      </c>
      <c r="S17" s="22">
        <f t="shared" si="6"/>
        <v>0.51029999999999998</v>
      </c>
      <c r="T17" s="22">
        <f t="shared" si="7"/>
        <v>0.36899999999999999</v>
      </c>
      <c r="U17" s="22">
        <f t="shared" si="8"/>
        <v>0.76229999999999998</v>
      </c>
      <c r="V17" s="22">
        <f t="shared" si="9"/>
        <v>0.76229999999999998</v>
      </c>
      <c r="W17" s="22">
        <f t="shared" si="10"/>
        <v>0.40300000000000002</v>
      </c>
      <c r="X17" s="22">
        <f t="shared" si="11"/>
        <v>0.43169999999999997</v>
      </c>
    </row>
    <row r="18" spans="1:24" x14ac:dyDescent="0.2">
      <c r="A18" s="12"/>
      <c r="B18" s="19" t="s">
        <v>16</v>
      </c>
      <c r="C18" s="158">
        <f>Input!C23</f>
        <v>0.50070000000000003</v>
      </c>
      <c r="D18" s="158">
        <f>Input!D23</f>
        <v>0.51670000000000005</v>
      </c>
      <c r="E18" s="158">
        <f>Input!E23</f>
        <v>0.52100000000000002</v>
      </c>
      <c r="F18" s="158">
        <f>Input!F23</f>
        <v>0.504</v>
      </c>
      <c r="G18" s="158">
        <f>Input!G23</f>
        <v>0.504</v>
      </c>
      <c r="H18" s="158">
        <f>Input!H23</f>
        <v>0.57230000000000003</v>
      </c>
      <c r="I18" s="158">
        <f>Input!I23</f>
        <v>0.2697</v>
      </c>
      <c r="J18" s="158">
        <f>Input!J23</f>
        <v>0.2697</v>
      </c>
      <c r="K18" s="158">
        <f>Input!K23</f>
        <v>0.59870000000000001</v>
      </c>
      <c r="L18" s="158">
        <f>Input!L23</f>
        <v>0.57669999999999999</v>
      </c>
      <c r="M18" s="20"/>
      <c r="N18" s="21"/>
      <c r="O18" s="22">
        <f t="shared" si="2"/>
        <v>0.49929999999999997</v>
      </c>
      <c r="P18" s="22">
        <f t="shared" si="3"/>
        <v>0.48329999999999995</v>
      </c>
      <c r="Q18" s="22">
        <f t="shared" si="4"/>
        <v>0.47899999999999998</v>
      </c>
      <c r="R18" s="22">
        <f t="shared" si="5"/>
        <v>0.496</v>
      </c>
      <c r="S18" s="22">
        <f t="shared" si="6"/>
        <v>0.496</v>
      </c>
      <c r="T18" s="22">
        <f t="shared" si="7"/>
        <v>0.42769999999999997</v>
      </c>
      <c r="U18" s="22">
        <f t="shared" si="8"/>
        <v>0.73029999999999995</v>
      </c>
      <c r="V18" s="22">
        <f t="shared" si="9"/>
        <v>0.73029999999999995</v>
      </c>
      <c r="W18" s="22">
        <f t="shared" si="10"/>
        <v>0.40129999999999999</v>
      </c>
      <c r="X18" s="22">
        <f t="shared" si="11"/>
        <v>0.42330000000000001</v>
      </c>
    </row>
    <row r="19" spans="1:24" x14ac:dyDescent="0.2">
      <c r="A19" s="12"/>
      <c r="B19" s="19" t="s">
        <v>17</v>
      </c>
      <c r="C19" s="158">
        <f>Input!C24</f>
        <v>0.45669999999999999</v>
      </c>
      <c r="D19" s="158">
        <f>Input!D24</f>
        <v>0.45469999999999999</v>
      </c>
      <c r="E19" s="158">
        <f>Input!E24</f>
        <v>0.47970000000000002</v>
      </c>
      <c r="F19" s="158">
        <f>Input!F24</f>
        <v>0.42399999999999999</v>
      </c>
      <c r="G19" s="158">
        <f>Input!G24</f>
        <v>0.42399999999999999</v>
      </c>
      <c r="H19" s="158">
        <f>Input!H24</f>
        <v>0.47070000000000001</v>
      </c>
      <c r="I19" s="158">
        <f>Input!I24</f>
        <v>0.29799999999999999</v>
      </c>
      <c r="J19" s="158">
        <f>Input!J24</f>
        <v>0.29799999999999999</v>
      </c>
      <c r="K19" s="158">
        <f>Input!K24</f>
        <v>0.55469999999999997</v>
      </c>
      <c r="L19" s="158">
        <f>Input!L24</f>
        <v>0.5333</v>
      </c>
      <c r="M19" s="20"/>
      <c r="N19" s="21"/>
      <c r="O19" s="22">
        <f t="shared" si="2"/>
        <v>0.54330000000000001</v>
      </c>
      <c r="P19" s="22">
        <f t="shared" si="3"/>
        <v>0.54530000000000001</v>
      </c>
      <c r="Q19" s="22">
        <f t="shared" si="4"/>
        <v>0.52029999999999998</v>
      </c>
      <c r="R19" s="22">
        <f t="shared" si="5"/>
        <v>0.57600000000000007</v>
      </c>
      <c r="S19" s="22">
        <f t="shared" si="6"/>
        <v>0.57600000000000007</v>
      </c>
      <c r="T19" s="22">
        <f t="shared" si="7"/>
        <v>0.52929999999999999</v>
      </c>
      <c r="U19" s="22">
        <f t="shared" si="8"/>
        <v>0.70199999999999996</v>
      </c>
      <c r="V19" s="22">
        <f t="shared" si="9"/>
        <v>0.70199999999999996</v>
      </c>
      <c r="W19" s="22">
        <f t="shared" si="10"/>
        <v>0.44530000000000003</v>
      </c>
      <c r="X19" s="22">
        <f t="shared" si="11"/>
        <v>0.4667</v>
      </c>
    </row>
    <row r="20" spans="1:24" x14ac:dyDescent="0.2">
      <c r="A20" s="12"/>
      <c r="B20" s="19" t="s">
        <v>18</v>
      </c>
      <c r="C20" s="158">
        <f>Input!C25</f>
        <v>0.49230000000000002</v>
      </c>
      <c r="D20" s="158">
        <f>Input!D25</f>
        <v>0.49170000000000003</v>
      </c>
      <c r="E20" s="158">
        <f>Input!E25</f>
        <v>0.51270000000000004</v>
      </c>
      <c r="F20" s="158">
        <f>Input!F25</f>
        <v>0.45500000000000002</v>
      </c>
      <c r="G20" s="158">
        <f>Input!G25</f>
        <v>0.45500000000000002</v>
      </c>
      <c r="H20" s="158">
        <f>Input!H25</f>
        <v>0.49730000000000002</v>
      </c>
      <c r="I20" s="158">
        <f>Input!I25</f>
        <v>0.318</v>
      </c>
      <c r="J20" s="158">
        <f>Input!J25</f>
        <v>0.318</v>
      </c>
      <c r="K20" s="158">
        <f>Input!K25</f>
        <v>0.57399999999999995</v>
      </c>
      <c r="L20" s="158">
        <f>Input!L25</f>
        <v>0.54830000000000001</v>
      </c>
      <c r="M20" s="20"/>
      <c r="N20" s="21"/>
      <c r="O20" s="22">
        <f t="shared" si="2"/>
        <v>0.50770000000000004</v>
      </c>
      <c r="P20" s="22">
        <f t="shared" si="3"/>
        <v>0.50829999999999997</v>
      </c>
      <c r="Q20" s="22">
        <f t="shared" si="4"/>
        <v>0.48729999999999996</v>
      </c>
      <c r="R20" s="22">
        <f t="shared" si="5"/>
        <v>0.54499999999999993</v>
      </c>
      <c r="S20" s="22">
        <f t="shared" si="6"/>
        <v>0.54499999999999993</v>
      </c>
      <c r="T20" s="22">
        <f t="shared" si="7"/>
        <v>0.50269999999999992</v>
      </c>
      <c r="U20" s="22">
        <f t="shared" si="8"/>
        <v>0.68199999999999994</v>
      </c>
      <c r="V20" s="22">
        <f t="shared" si="9"/>
        <v>0.68199999999999994</v>
      </c>
      <c r="W20" s="22">
        <f t="shared" si="10"/>
        <v>0.42600000000000005</v>
      </c>
      <c r="X20" s="22">
        <f t="shared" si="11"/>
        <v>0.45169999999999999</v>
      </c>
    </row>
    <row r="21" spans="1:24" x14ac:dyDescent="0.2">
      <c r="A21" s="12"/>
      <c r="B21" s="19"/>
      <c r="C21" s="21"/>
      <c r="D21" s="21"/>
      <c r="E21" s="21"/>
      <c r="F21" s="21"/>
      <c r="G21" s="21"/>
      <c r="H21" s="21"/>
      <c r="I21" s="21"/>
      <c r="J21" s="21"/>
      <c r="K21" s="21"/>
      <c r="L21" s="21"/>
      <c r="M21" s="21"/>
      <c r="N21" s="21"/>
      <c r="O21" s="22"/>
      <c r="P21" s="22"/>
      <c r="Q21" s="22"/>
      <c r="R21" s="22"/>
      <c r="S21" s="22"/>
      <c r="T21" s="22"/>
      <c r="U21" s="22"/>
      <c r="V21" s="22"/>
      <c r="W21" s="22"/>
      <c r="X21" s="22"/>
    </row>
    <row r="22" spans="1:24" x14ac:dyDescent="0.2">
      <c r="A22" s="12"/>
      <c r="B22" s="19"/>
      <c r="C22" s="21"/>
      <c r="D22" s="21"/>
      <c r="E22" s="7" t="str">
        <f>+Input!E9</f>
        <v>Based on average of year 2014,2015 &amp; 2016 Load Profile Information</v>
      </c>
      <c r="K22" s="21"/>
      <c r="L22" s="21"/>
      <c r="M22" s="21"/>
      <c r="N22" s="21"/>
      <c r="O22" s="22"/>
      <c r="P22" s="22"/>
      <c r="Q22" s="22"/>
      <c r="R22" s="22"/>
      <c r="S22" s="22"/>
      <c r="T22" s="22"/>
      <c r="U22" s="22"/>
      <c r="V22" s="22"/>
      <c r="W22" s="22"/>
      <c r="X22" s="22"/>
    </row>
    <row r="23" spans="1:24" x14ac:dyDescent="0.2">
      <c r="A23" s="8" t="s">
        <v>65</v>
      </c>
      <c r="B23" s="9" t="s">
        <v>131</v>
      </c>
      <c r="C23" s="21"/>
      <c r="D23" s="21"/>
      <c r="E23" s="152" t="s">
        <v>357</v>
      </c>
      <c r="G23" s="21"/>
      <c r="H23" s="21"/>
      <c r="I23" s="23"/>
      <c r="J23" s="23"/>
      <c r="K23" s="21"/>
      <c r="L23" s="21"/>
      <c r="M23" s="21"/>
      <c r="N23" s="21"/>
      <c r="O23" s="22"/>
      <c r="P23" s="22"/>
      <c r="Q23" s="22"/>
      <c r="R23" s="22"/>
      <c r="S23" s="22"/>
      <c r="T23" s="22"/>
      <c r="U23" s="22"/>
      <c r="V23" s="22"/>
      <c r="W23" s="22"/>
      <c r="X23" s="22"/>
    </row>
    <row r="24" spans="1:24" ht="25.5" x14ac:dyDescent="0.2">
      <c r="A24" s="12"/>
      <c r="C24" s="13" t="s">
        <v>79</v>
      </c>
      <c r="D24" s="13" t="s">
        <v>79</v>
      </c>
      <c r="E24" s="13" t="s">
        <v>50</v>
      </c>
      <c r="F24" s="13" t="s">
        <v>79</v>
      </c>
      <c r="G24" s="13" t="s">
        <v>79</v>
      </c>
      <c r="H24" s="13" t="s">
        <v>79</v>
      </c>
      <c r="I24" s="13" t="s">
        <v>79</v>
      </c>
      <c r="J24" s="13" t="s">
        <v>79</v>
      </c>
      <c r="K24" s="13" t="s">
        <v>79</v>
      </c>
      <c r="L24" s="13" t="s">
        <v>50</v>
      </c>
      <c r="M24" s="13"/>
      <c r="N24" s="7"/>
      <c r="O24" s="13" t="s">
        <v>79</v>
      </c>
      <c r="P24" s="13" t="s">
        <v>79</v>
      </c>
      <c r="Q24" s="13" t="s">
        <v>222</v>
      </c>
      <c r="R24" s="13" t="s">
        <v>79</v>
      </c>
      <c r="S24" s="13" t="s">
        <v>79</v>
      </c>
      <c r="T24" s="13" t="s">
        <v>79</v>
      </c>
      <c r="U24" s="13" t="s">
        <v>79</v>
      </c>
      <c r="V24" s="13" t="s">
        <v>79</v>
      </c>
      <c r="W24" s="13" t="s">
        <v>79</v>
      </c>
      <c r="X24" s="13" t="s">
        <v>222</v>
      </c>
    </row>
    <row r="25" spans="1:24" x14ac:dyDescent="0.2">
      <c r="A25" s="12"/>
      <c r="B25" s="15" t="s">
        <v>235</v>
      </c>
      <c r="C25" s="18" t="str">
        <f>+C7</f>
        <v>RS</v>
      </c>
      <c r="D25" s="18" t="str">
        <f t="shared" ref="D25:L25" si="12">+D7</f>
        <v>RHS</v>
      </c>
      <c r="E25" s="18" t="str">
        <f t="shared" si="12"/>
        <v>RLM</v>
      </c>
      <c r="F25" s="18" t="str">
        <f t="shared" si="12"/>
        <v>WH</v>
      </c>
      <c r="G25" s="18" t="str">
        <f t="shared" si="12"/>
        <v>WHS</v>
      </c>
      <c r="H25" s="18" t="str">
        <f t="shared" si="12"/>
        <v>HS</v>
      </c>
      <c r="I25" s="18" t="str">
        <f t="shared" si="12"/>
        <v>PSAL</v>
      </c>
      <c r="J25" s="18" t="str">
        <f t="shared" si="12"/>
        <v>BPL</v>
      </c>
      <c r="K25" s="18" t="str">
        <f t="shared" si="12"/>
        <v>GLP</v>
      </c>
      <c r="L25" s="18" t="str">
        <f t="shared" si="12"/>
        <v>LPL-S</v>
      </c>
      <c r="M25" s="18"/>
      <c r="N25" s="17"/>
      <c r="O25" s="18" t="str">
        <f>+C7</f>
        <v>RS</v>
      </c>
      <c r="P25" s="18" t="str">
        <f t="shared" ref="P25:X25" si="13">+D7</f>
        <v>RHS</v>
      </c>
      <c r="Q25" s="18" t="str">
        <f t="shared" si="13"/>
        <v>RLM</v>
      </c>
      <c r="R25" s="18" t="str">
        <f t="shared" si="13"/>
        <v>WH</v>
      </c>
      <c r="S25" s="18" t="str">
        <f t="shared" si="13"/>
        <v>WHS</v>
      </c>
      <c r="T25" s="18" t="str">
        <f t="shared" si="13"/>
        <v>HS</v>
      </c>
      <c r="U25" s="18" t="str">
        <f t="shared" si="13"/>
        <v>PSAL</v>
      </c>
      <c r="V25" s="18" t="str">
        <f t="shared" si="13"/>
        <v>BPL</v>
      </c>
      <c r="W25" s="18" t="str">
        <f t="shared" si="13"/>
        <v>GLP</v>
      </c>
      <c r="X25" s="18" t="str">
        <f t="shared" si="13"/>
        <v>LPL-S</v>
      </c>
    </row>
    <row r="26" spans="1:24" x14ac:dyDescent="0.2">
      <c r="A26" s="12"/>
      <c r="O26" s="11"/>
      <c r="P26" s="11"/>
      <c r="Q26" s="11"/>
      <c r="R26" s="11"/>
      <c r="S26" s="11"/>
      <c r="T26" s="11"/>
      <c r="U26" s="11"/>
      <c r="V26" s="11"/>
      <c r="W26" s="11"/>
      <c r="X26" s="11"/>
    </row>
    <row r="27" spans="1:24" x14ac:dyDescent="0.2">
      <c r="A27" s="12"/>
      <c r="B27" s="19" t="s">
        <v>7</v>
      </c>
      <c r="C27" s="24">
        <v>0</v>
      </c>
      <c r="D27" s="24">
        <v>0</v>
      </c>
      <c r="E27" s="24">
        <f>Input!C32</f>
        <v>0.43409999999999999</v>
      </c>
      <c r="F27" s="24">
        <v>0</v>
      </c>
      <c r="G27" s="24">
        <v>0</v>
      </c>
      <c r="H27" s="24">
        <v>0</v>
      </c>
      <c r="I27" s="24">
        <v>0</v>
      </c>
      <c r="J27" s="24">
        <v>0</v>
      </c>
      <c r="K27" s="24">
        <v>0</v>
      </c>
      <c r="L27" s="24">
        <f>Input!D32</f>
        <v>0.48459999999999998</v>
      </c>
      <c r="M27" s="20"/>
      <c r="N27" s="21"/>
      <c r="O27" s="22"/>
      <c r="P27" s="22"/>
      <c r="Q27" s="22">
        <f t="shared" ref="Q27:Q38" si="14">1-E27</f>
        <v>0.56590000000000007</v>
      </c>
      <c r="R27" s="22"/>
      <c r="S27" s="22"/>
      <c r="T27" s="22"/>
      <c r="U27" s="22"/>
      <c r="V27" s="22"/>
      <c r="W27" s="22"/>
      <c r="X27" s="22">
        <f t="shared" ref="X27:X38" si="15">1-L27</f>
        <v>0.51540000000000008</v>
      </c>
    </row>
    <row r="28" spans="1:24" x14ac:dyDescent="0.2">
      <c r="A28" s="12"/>
      <c r="B28" s="19" t="s">
        <v>8</v>
      </c>
      <c r="C28" s="24">
        <v>0</v>
      </c>
      <c r="D28" s="24">
        <v>0</v>
      </c>
      <c r="E28" s="24">
        <f>Input!C33</f>
        <v>0.42659999999999998</v>
      </c>
      <c r="F28" s="24">
        <v>0</v>
      </c>
      <c r="G28" s="24">
        <v>0</v>
      </c>
      <c r="H28" s="24">
        <v>0</v>
      </c>
      <c r="I28" s="24">
        <v>0</v>
      </c>
      <c r="J28" s="24">
        <v>0</v>
      </c>
      <c r="K28" s="24">
        <v>0</v>
      </c>
      <c r="L28" s="24">
        <f>Input!D33</f>
        <v>0.48249999999999998</v>
      </c>
      <c r="M28" s="20"/>
      <c r="N28" s="21"/>
      <c r="O28" s="22"/>
      <c r="P28" s="22"/>
      <c r="Q28" s="22">
        <f t="shared" si="14"/>
        <v>0.57340000000000002</v>
      </c>
      <c r="R28" s="22"/>
      <c r="S28" s="22"/>
      <c r="T28" s="22"/>
      <c r="U28" s="22"/>
      <c r="V28" s="22"/>
      <c r="W28" s="22"/>
      <c r="X28" s="22">
        <f t="shared" si="15"/>
        <v>0.51750000000000007</v>
      </c>
    </row>
    <row r="29" spans="1:24" x14ac:dyDescent="0.2">
      <c r="A29" s="12"/>
      <c r="B29" s="19" t="s">
        <v>9</v>
      </c>
      <c r="C29" s="24">
        <v>0</v>
      </c>
      <c r="D29" s="24">
        <v>0</v>
      </c>
      <c r="E29" s="24">
        <f>Input!C34</f>
        <v>0.41970000000000002</v>
      </c>
      <c r="F29" s="24">
        <v>0</v>
      </c>
      <c r="G29" s="24">
        <v>0</v>
      </c>
      <c r="H29" s="24">
        <v>0</v>
      </c>
      <c r="I29" s="24">
        <v>0</v>
      </c>
      <c r="J29" s="24">
        <v>0</v>
      </c>
      <c r="K29" s="24">
        <v>0</v>
      </c>
      <c r="L29" s="24">
        <f>Input!D34</f>
        <v>0.48480000000000001</v>
      </c>
      <c r="M29" s="20"/>
      <c r="N29" s="21"/>
      <c r="O29" s="22"/>
      <c r="P29" s="22"/>
      <c r="Q29" s="22">
        <f t="shared" si="14"/>
        <v>0.58030000000000004</v>
      </c>
      <c r="R29" s="22"/>
      <c r="S29" s="22"/>
      <c r="T29" s="22"/>
      <c r="U29" s="22"/>
      <c r="V29" s="22"/>
      <c r="W29" s="22"/>
      <c r="X29" s="22">
        <f t="shared" si="15"/>
        <v>0.51519999999999999</v>
      </c>
    </row>
    <row r="30" spans="1:24" x14ac:dyDescent="0.2">
      <c r="A30" s="12"/>
      <c r="B30" s="19" t="s">
        <v>10</v>
      </c>
      <c r="C30" s="24">
        <v>0</v>
      </c>
      <c r="D30" s="24">
        <v>0</v>
      </c>
      <c r="E30" s="24">
        <f>Input!C35</f>
        <v>0.42299999999999999</v>
      </c>
      <c r="F30" s="24">
        <v>0</v>
      </c>
      <c r="G30" s="24">
        <v>0</v>
      </c>
      <c r="H30" s="24">
        <v>0</v>
      </c>
      <c r="I30" s="24">
        <v>0</v>
      </c>
      <c r="J30" s="24">
        <v>0</v>
      </c>
      <c r="K30" s="24">
        <v>0</v>
      </c>
      <c r="L30" s="24">
        <f>Input!D35</f>
        <v>0.49020000000000002</v>
      </c>
      <c r="M30" s="20"/>
      <c r="N30" s="21"/>
      <c r="O30" s="22"/>
      <c r="P30" s="22"/>
      <c r="Q30" s="22">
        <f t="shared" si="14"/>
        <v>0.57699999999999996</v>
      </c>
      <c r="R30" s="22"/>
      <c r="S30" s="22"/>
      <c r="T30" s="22"/>
      <c r="U30" s="22"/>
      <c r="V30" s="22"/>
      <c r="W30" s="22"/>
      <c r="X30" s="22">
        <f t="shared" si="15"/>
        <v>0.50980000000000003</v>
      </c>
    </row>
    <row r="31" spans="1:24" x14ac:dyDescent="0.2">
      <c r="A31" s="12"/>
      <c r="B31" s="19" t="s">
        <v>11</v>
      </c>
      <c r="C31" s="24">
        <v>0</v>
      </c>
      <c r="D31" s="24">
        <v>0</v>
      </c>
      <c r="E31" s="24">
        <f>Input!C36</f>
        <v>0.44019999999999998</v>
      </c>
      <c r="F31" s="24">
        <v>0</v>
      </c>
      <c r="G31" s="24">
        <v>0</v>
      </c>
      <c r="H31" s="24">
        <v>0</v>
      </c>
      <c r="I31" s="24">
        <v>0</v>
      </c>
      <c r="J31" s="24">
        <v>0</v>
      </c>
      <c r="K31" s="24">
        <v>0</v>
      </c>
      <c r="L31" s="24">
        <f>Input!D36</f>
        <v>0.50590000000000002</v>
      </c>
      <c r="M31" s="20"/>
      <c r="N31" s="141"/>
      <c r="O31" s="22"/>
      <c r="P31" s="22"/>
      <c r="Q31" s="22">
        <f t="shared" si="14"/>
        <v>0.55980000000000008</v>
      </c>
      <c r="R31" s="22"/>
      <c r="S31" s="22"/>
      <c r="T31" s="22"/>
      <c r="U31" s="22"/>
      <c r="V31" s="22"/>
      <c r="W31" s="22"/>
      <c r="X31" s="22">
        <f t="shared" si="15"/>
        <v>0.49409999999999998</v>
      </c>
    </row>
    <row r="32" spans="1:24" x14ac:dyDescent="0.2">
      <c r="A32" s="12"/>
      <c r="B32" s="19" t="s">
        <v>12</v>
      </c>
      <c r="C32" s="24">
        <v>0</v>
      </c>
      <c r="D32" s="24">
        <v>0</v>
      </c>
      <c r="E32" s="24">
        <f>Input!C37</f>
        <v>0.46579999999999999</v>
      </c>
      <c r="F32" s="24">
        <v>0</v>
      </c>
      <c r="G32" s="24">
        <v>0</v>
      </c>
      <c r="H32" s="24">
        <v>0</v>
      </c>
      <c r="I32" s="24">
        <v>0</v>
      </c>
      <c r="J32" s="24">
        <v>0</v>
      </c>
      <c r="K32" s="24">
        <v>0</v>
      </c>
      <c r="L32" s="24">
        <f>Input!D37</f>
        <v>0.51170000000000004</v>
      </c>
      <c r="M32" s="20"/>
      <c r="N32" s="141"/>
      <c r="O32" s="22"/>
      <c r="P32" s="22"/>
      <c r="Q32" s="22">
        <f t="shared" si="14"/>
        <v>0.53420000000000001</v>
      </c>
      <c r="R32" s="22"/>
      <c r="S32" s="22"/>
      <c r="T32" s="22"/>
      <c r="U32" s="22"/>
      <c r="V32" s="22"/>
      <c r="W32" s="22"/>
      <c r="X32" s="22">
        <f t="shared" si="15"/>
        <v>0.48829999999999996</v>
      </c>
    </row>
    <row r="33" spans="1:32" x14ac:dyDescent="0.2">
      <c r="A33" s="12"/>
      <c r="B33" s="19" t="s">
        <v>13</v>
      </c>
      <c r="C33" s="24">
        <v>0</v>
      </c>
      <c r="D33" s="24">
        <v>0</v>
      </c>
      <c r="E33" s="24">
        <f>Input!C38</f>
        <v>0.4894</v>
      </c>
      <c r="F33" s="24">
        <v>0</v>
      </c>
      <c r="G33" s="24">
        <v>0</v>
      </c>
      <c r="H33" s="24">
        <v>0</v>
      </c>
      <c r="I33" s="24">
        <v>0</v>
      </c>
      <c r="J33" s="24">
        <v>0</v>
      </c>
      <c r="K33" s="24">
        <v>0</v>
      </c>
      <c r="L33" s="24">
        <f>Input!D38</f>
        <v>0.51300000000000001</v>
      </c>
      <c r="M33" s="20"/>
      <c r="N33" s="141"/>
      <c r="O33" s="22"/>
      <c r="P33" s="22"/>
      <c r="Q33" s="22">
        <f t="shared" si="14"/>
        <v>0.51059999999999994</v>
      </c>
      <c r="R33" s="22"/>
      <c r="S33" s="22"/>
      <c r="T33" s="22"/>
      <c r="U33" s="22"/>
      <c r="V33" s="22"/>
      <c r="W33" s="22"/>
      <c r="X33" s="22">
        <f t="shared" si="15"/>
        <v>0.48699999999999999</v>
      </c>
    </row>
    <row r="34" spans="1:32" x14ac:dyDescent="0.2">
      <c r="A34" s="12"/>
      <c r="B34" s="19" t="s">
        <v>14</v>
      </c>
      <c r="C34" s="24">
        <v>0</v>
      </c>
      <c r="D34" s="24">
        <v>0</v>
      </c>
      <c r="E34" s="24">
        <f>Input!C39</f>
        <v>0.48180000000000001</v>
      </c>
      <c r="F34" s="24">
        <v>0</v>
      </c>
      <c r="G34" s="24">
        <v>0</v>
      </c>
      <c r="H34" s="24">
        <v>0</v>
      </c>
      <c r="I34" s="24">
        <v>0</v>
      </c>
      <c r="J34" s="24">
        <v>0</v>
      </c>
      <c r="K34" s="24">
        <v>0</v>
      </c>
      <c r="L34" s="24">
        <f>Input!D39</f>
        <v>0.50580000000000003</v>
      </c>
      <c r="M34" s="20"/>
      <c r="N34" s="141"/>
      <c r="O34" s="22"/>
      <c r="P34" s="22"/>
      <c r="Q34" s="22">
        <f t="shared" si="14"/>
        <v>0.51819999999999999</v>
      </c>
      <c r="R34" s="22"/>
      <c r="S34" s="22"/>
      <c r="T34" s="22"/>
      <c r="U34" s="22"/>
      <c r="V34" s="22"/>
      <c r="W34" s="22"/>
      <c r="X34" s="22">
        <f t="shared" si="15"/>
        <v>0.49419999999999997</v>
      </c>
    </row>
    <row r="35" spans="1:32" x14ac:dyDescent="0.2">
      <c r="A35" s="12"/>
      <c r="B35" s="19" t="s">
        <v>15</v>
      </c>
      <c r="C35" s="24">
        <v>0</v>
      </c>
      <c r="D35" s="24">
        <v>0</v>
      </c>
      <c r="E35" s="24">
        <f>Input!C40</f>
        <v>0.48480000000000001</v>
      </c>
      <c r="F35" s="24">
        <v>0</v>
      </c>
      <c r="G35" s="24">
        <v>0</v>
      </c>
      <c r="H35" s="24">
        <v>0</v>
      </c>
      <c r="I35" s="24">
        <v>0</v>
      </c>
      <c r="J35" s="24">
        <v>0</v>
      </c>
      <c r="K35" s="24">
        <v>0</v>
      </c>
      <c r="L35" s="24">
        <f>Input!D40</f>
        <v>0.50839999999999996</v>
      </c>
      <c r="M35" s="20"/>
      <c r="N35" s="141"/>
      <c r="O35" s="22"/>
      <c r="P35" s="22"/>
      <c r="Q35" s="22">
        <f t="shared" si="14"/>
        <v>0.51519999999999999</v>
      </c>
      <c r="R35" s="22"/>
      <c r="S35" s="22"/>
      <c r="T35" s="22"/>
      <c r="U35" s="22"/>
      <c r="V35" s="22"/>
      <c r="W35" s="22"/>
      <c r="X35" s="22">
        <f t="shared" si="15"/>
        <v>0.49160000000000004</v>
      </c>
    </row>
    <row r="36" spans="1:32" x14ac:dyDescent="0.2">
      <c r="A36" s="12"/>
      <c r="B36" s="19" t="s">
        <v>16</v>
      </c>
      <c r="C36" s="24">
        <v>0</v>
      </c>
      <c r="D36" s="24">
        <v>0</v>
      </c>
      <c r="E36" s="24">
        <f>Input!C41</f>
        <v>0.45929999999999999</v>
      </c>
      <c r="F36" s="24">
        <v>0</v>
      </c>
      <c r="G36" s="24">
        <v>0</v>
      </c>
      <c r="H36" s="24">
        <v>0</v>
      </c>
      <c r="I36" s="24">
        <v>0</v>
      </c>
      <c r="J36" s="24">
        <v>0</v>
      </c>
      <c r="K36" s="24">
        <v>0</v>
      </c>
      <c r="L36" s="24">
        <f>Input!D41</f>
        <v>0.51300000000000001</v>
      </c>
      <c r="M36" s="20"/>
      <c r="N36" s="141"/>
      <c r="O36" s="22"/>
      <c r="P36" s="22"/>
      <c r="Q36" s="22">
        <f t="shared" si="14"/>
        <v>0.54069999999999996</v>
      </c>
      <c r="R36" s="22"/>
      <c r="S36" s="22"/>
      <c r="T36" s="22"/>
      <c r="U36" s="22"/>
      <c r="V36" s="22"/>
      <c r="W36" s="22"/>
      <c r="X36" s="22">
        <f t="shared" si="15"/>
        <v>0.48699999999999999</v>
      </c>
    </row>
    <row r="37" spans="1:32" x14ac:dyDescent="0.2">
      <c r="A37" s="12"/>
      <c r="B37" s="19" t="s">
        <v>17</v>
      </c>
      <c r="C37" s="24">
        <v>0</v>
      </c>
      <c r="D37" s="24">
        <v>0</v>
      </c>
      <c r="E37" s="24">
        <f>Input!C42</f>
        <v>0.43580000000000002</v>
      </c>
      <c r="F37" s="24">
        <v>0</v>
      </c>
      <c r="G37" s="24">
        <v>0</v>
      </c>
      <c r="H37" s="24">
        <v>0</v>
      </c>
      <c r="I37" s="24">
        <v>0</v>
      </c>
      <c r="J37" s="24">
        <v>0</v>
      </c>
      <c r="K37" s="24">
        <v>0</v>
      </c>
      <c r="L37" s="24">
        <f>Input!D42</f>
        <v>0.50390000000000001</v>
      </c>
      <c r="M37" s="20"/>
      <c r="N37" s="141"/>
      <c r="O37" s="22"/>
      <c r="P37" s="22"/>
      <c r="Q37" s="22">
        <f t="shared" si="14"/>
        <v>0.56420000000000003</v>
      </c>
      <c r="R37" s="22"/>
      <c r="S37" s="22"/>
      <c r="T37" s="22"/>
      <c r="U37" s="22"/>
      <c r="V37" s="22"/>
      <c r="W37" s="22"/>
      <c r="X37" s="22">
        <f t="shared" si="15"/>
        <v>0.49609999999999999</v>
      </c>
    </row>
    <row r="38" spans="1:32" x14ac:dyDescent="0.2">
      <c r="A38" s="12"/>
      <c r="B38" s="19" t="s">
        <v>18</v>
      </c>
      <c r="C38" s="24">
        <v>0</v>
      </c>
      <c r="D38" s="24">
        <v>0</v>
      </c>
      <c r="E38" s="24">
        <f>Input!C43</f>
        <v>0.43120000000000003</v>
      </c>
      <c r="F38" s="24">
        <v>0</v>
      </c>
      <c r="G38" s="24">
        <v>0</v>
      </c>
      <c r="H38" s="24">
        <v>0</v>
      </c>
      <c r="I38" s="24">
        <v>0</v>
      </c>
      <c r="J38" s="24">
        <v>0</v>
      </c>
      <c r="K38" s="24">
        <v>0</v>
      </c>
      <c r="L38" s="24">
        <f>Input!D43</f>
        <v>0.49109999999999998</v>
      </c>
      <c r="M38" s="20"/>
      <c r="N38" s="141"/>
      <c r="O38" s="22"/>
      <c r="P38" s="22"/>
      <c r="Q38" s="22">
        <f t="shared" si="14"/>
        <v>0.56879999999999997</v>
      </c>
      <c r="R38" s="22"/>
      <c r="S38" s="22"/>
      <c r="T38" s="22"/>
      <c r="U38" s="22"/>
      <c r="V38" s="22"/>
      <c r="W38" s="22"/>
      <c r="X38" s="22">
        <f t="shared" si="15"/>
        <v>0.50890000000000002</v>
      </c>
    </row>
    <row r="39" spans="1:32" x14ac:dyDescent="0.2">
      <c r="A39" s="12"/>
      <c r="B39" s="19"/>
      <c r="C39" s="21"/>
      <c r="D39" s="21"/>
      <c r="E39" s="21"/>
      <c r="F39" s="21"/>
      <c r="G39" s="21"/>
      <c r="H39" s="21"/>
      <c r="I39" s="23"/>
      <c r="J39" s="23"/>
      <c r="K39" s="21"/>
      <c r="L39" s="21"/>
      <c r="M39" s="21"/>
      <c r="N39" s="141"/>
      <c r="O39" s="22"/>
      <c r="P39" s="22"/>
      <c r="Q39" s="22"/>
      <c r="R39" s="22"/>
      <c r="S39" s="22"/>
      <c r="T39" s="22"/>
      <c r="U39" s="22"/>
      <c r="V39" s="22"/>
      <c r="W39" s="22"/>
      <c r="X39" s="22"/>
    </row>
    <row r="40" spans="1:32" x14ac:dyDescent="0.2">
      <c r="A40" s="12"/>
      <c r="B40" s="19"/>
      <c r="C40" s="21"/>
      <c r="D40" s="21"/>
      <c r="E40" s="21"/>
      <c r="F40" s="21"/>
      <c r="G40" s="21"/>
      <c r="H40" s="21"/>
      <c r="I40" s="23"/>
      <c r="J40" s="23"/>
      <c r="K40" s="21"/>
      <c r="L40" s="21"/>
      <c r="M40" s="21"/>
      <c r="N40" s="141"/>
      <c r="O40" s="22"/>
      <c r="P40" s="22"/>
      <c r="Q40" s="22"/>
      <c r="R40" s="22"/>
      <c r="S40" s="22"/>
      <c r="T40" s="22"/>
      <c r="U40" s="22"/>
      <c r="V40" s="22"/>
      <c r="W40" s="22"/>
      <c r="X40" s="22"/>
    </row>
    <row r="41" spans="1:32" x14ac:dyDescent="0.2">
      <c r="A41" s="8" t="s">
        <v>75</v>
      </c>
      <c r="B41" s="25" t="s">
        <v>132</v>
      </c>
      <c r="C41" s="18"/>
      <c r="D41" s="18"/>
      <c r="E41" s="18"/>
      <c r="F41" s="18"/>
      <c r="G41" s="18"/>
      <c r="H41" s="18"/>
      <c r="I41" s="18"/>
      <c r="J41" s="18"/>
      <c r="K41" s="18"/>
      <c r="L41" s="18"/>
      <c r="O41" s="6" t="s">
        <v>189</v>
      </c>
    </row>
    <row r="42" spans="1:32" x14ac:dyDescent="0.2">
      <c r="A42" s="12"/>
      <c r="B42" s="26" t="str">
        <f>Input!B47</f>
        <v>calendar month sales forecasted for 2018, less % for LPL-Sec &gt; 500 kW Peak Load Share</v>
      </c>
      <c r="G42" s="156"/>
      <c r="L42" s="18" t="s">
        <v>308</v>
      </c>
      <c r="AB42" s="36" t="s">
        <v>19</v>
      </c>
      <c r="AD42" s="6" t="s">
        <v>307</v>
      </c>
    </row>
    <row r="43" spans="1:32" x14ac:dyDescent="0.2">
      <c r="A43" s="12"/>
      <c r="B43" s="7" t="s">
        <v>78</v>
      </c>
      <c r="C43" s="18" t="str">
        <f>+C7</f>
        <v>RS</v>
      </c>
      <c r="D43" s="18" t="str">
        <f t="shared" ref="D43:L43" si="16">+D7</f>
        <v>RHS</v>
      </c>
      <c r="E43" s="18" t="str">
        <f t="shared" si="16"/>
        <v>RLM</v>
      </c>
      <c r="F43" s="18" t="str">
        <f t="shared" si="16"/>
        <v>WH</v>
      </c>
      <c r="G43" s="18" t="str">
        <f t="shared" si="16"/>
        <v>WHS</v>
      </c>
      <c r="H43" s="18" t="str">
        <f t="shared" si="16"/>
        <v>HS</v>
      </c>
      <c r="I43" s="18" t="str">
        <f t="shared" si="16"/>
        <v>PSAL</v>
      </c>
      <c r="J43" s="18" t="str">
        <f t="shared" si="16"/>
        <v>BPL</v>
      </c>
      <c r="K43" s="18" t="str">
        <f t="shared" si="16"/>
        <v>GLP</v>
      </c>
      <c r="L43" s="18" t="str">
        <f t="shared" si="16"/>
        <v>LPL-S</v>
      </c>
      <c r="M43" s="18"/>
      <c r="N43" s="18"/>
      <c r="O43" s="18" t="str">
        <f>+C7</f>
        <v>RS</v>
      </c>
      <c r="P43" s="18" t="str">
        <f t="shared" ref="P43:X43" si="17">+D7</f>
        <v>RHS</v>
      </c>
      <c r="Q43" s="18" t="str">
        <f t="shared" si="17"/>
        <v>RLM</v>
      </c>
      <c r="R43" s="18" t="str">
        <f t="shared" si="17"/>
        <v>WH</v>
      </c>
      <c r="S43" s="18" t="str">
        <f t="shared" si="17"/>
        <v>WHS</v>
      </c>
      <c r="T43" s="18" t="str">
        <f t="shared" si="17"/>
        <v>HS</v>
      </c>
      <c r="U43" s="18" t="str">
        <f t="shared" si="17"/>
        <v>PSAL</v>
      </c>
      <c r="V43" s="18" t="str">
        <f t="shared" si="17"/>
        <v>BPL</v>
      </c>
      <c r="W43" s="18" t="str">
        <f t="shared" si="17"/>
        <v>GLP</v>
      </c>
      <c r="X43" s="18" t="str">
        <f t="shared" si="17"/>
        <v>LPL-S</v>
      </c>
      <c r="Y43" s="18"/>
      <c r="Z43" s="18" t="s">
        <v>194</v>
      </c>
      <c r="AB43" s="36" t="s">
        <v>36</v>
      </c>
      <c r="AD43" s="110" t="s">
        <v>196</v>
      </c>
      <c r="AE43" s="110" t="s">
        <v>196</v>
      </c>
      <c r="AF43" s="36" t="s">
        <v>196</v>
      </c>
    </row>
    <row r="44" spans="1:32" x14ac:dyDescent="0.2">
      <c r="A44" s="12"/>
      <c r="C44" s="18"/>
      <c r="D44" s="18"/>
      <c r="E44" s="18"/>
      <c r="F44" s="18"/>
      <c r="G44" s="18"/>
      <c r="H44" s="18"/>
      <c r="I44" s="18"/>
      <c r="J44" s="18"/>
      <c r="K44" s="18"/>
      <c r="L44" s="18"/>
      <c r="Y44" s="93"/>
      <c r="AB44" s="36"/>
      <c r="AD44" s="36" t="s">
        <v>195</v>
      </c>
      <c r="AE44" s="36" t="s">
        <v>197</v>
      </c>
      <c r="AF44" s="36" t="s">
        <v>198</v>
      </c>
    </row>
    <row r="45" spans="1:32" x14ac:dyDescent="0.2">
      <c r="A45" s="12"/>
      <c r="B45" s="19" t="s">
        <v>7</v>
      </c>
      <c r="C45" s="163">
        <f>Input!C50</f>
        <v>1040918.543126979</v>
      </c>
      <c r="D45" s="163">
        <f>Input!D50</f>
        <v>17774.319870945375</v>
      </c>
      <c r="E45" s="163">
        <f>Input!E50</f>
        <v>18130.3689766442</v>
      </c>
      <c r="F45" s="163">
        <f>Input!F50</f>
        <v>110</v>
      </c>
      <c r="G45" s="163">
        <f>Input!G50</f>
        <v>2</v>
      </c>
      <c r="H45" s="163">
        <f>Input!H50</f>
        <v>1923.5329230606692</v>
      </c>
      <c r="I45" s="163">
        <f>Input!I50</f>
        <v>17199</v>
      </c>
      <c r="J45" s="163">
        <f>Input!J50</f>
        <v>31648</v>
      </c>
      <c r="K45" s="163">
        <f>Input!K50</f>
        <v>537584.88035118906</v>
      </c>
      <c r="L45" s="148">
        <f>AB45*$M$45</f>
        <v>396396.11307421344</v>
      </c>
      <c r="M45" s="140">
        <f>(1-AD45)</f>
        <v>0.62684420321412793</v>
      </c>
      <c r="N45" s="28" t="s">
        <v>61</v>
      </c>
      <c r="O45" s="29">
        <f>SUM(C45:C49,C54:C56)</f>
        <v>6829207.7524193767</v>
      </c>
      <c r="P45" s="30">
        <f t="shared" ref="P45:X45" si="18">SUM(D45:D49,D54:D56)</f>
        <v>87100.673201151687</v>
      </c>
      <c r="Q45" s="30">
        <f t="shared" si="18"/>
        <v>115246.32985288659</v>
      </c>
      <c r="R45" s="30">
        <f t="shared" si="18"/>
        <v>763</v>
      </c>
      <c r="S45" s="30">
        <f t="shared" si="18"/>
        <v>14</v>
      </c>
      <c r="T45" s="30">
        <f t="shared" si="18"/>
        <v>9651.1546974459197</v>
      </c>
      <c r="U45" s="30">
        <f t="shared" si="18"/>
        <v>112765</v>
      </c>
      <c r="V45" s="30">
        <f t="shared" si="18"/>
        <v>216403</v>
      </c>
      <c r="W45" s="30">
        <f t="shared" si="18"/>
        <v>4024669.106800681</v>
      </c>
      <c r="X45" s="30">
        <f t="shared" si="18"/>
        <v>3009298.7696633935</v>
      </c>
      <c r="Y45" s="93">
        <f>SUM(O45:X45)</f>
        <v>14405118.786634937</v>
      </c>
      <c r="Z45" s="94">
        <f>+Y45/(Y45+Y49)</f>
        <v>0.59826615988294773</v>
      </c>
      <c r="AB45" s="159">
        <f>Input!L50</f>
        <v>632367.83724201692</v>
      </c>
      <c r="AD45" s="160">
        <f>Input!C66</f>
        <v>0.37315579678587202</v>
      </c>
      <c r="AE45" s="161">
        <f>Input!D66</f>
        <v>0.34482849586820458</v>
      </c>
      <c r="AF45" s="91">
        <f>AE45</f>
        <v>0.34482849586820458</v>
      </c>
    </row>
    <row r="46" spans="1:32" x14ac:dyDescent="0.2">
      <c r="A46" s="12"/>
      <c r="B46" s="19" t="s">
        <v>8</v>
      </c>
      <c r="C46" s="163">
        <f>Input!C51</f>
        <v>878487.1060373889</v>
      </c>
      <c r="D46" s="163">
        <f>Input!D51</f>
        <v>14659.173703446282</v>
      </c>
      <c r="E46" s="163">
        <f>Input!E51</f>
        <v>14871.040196921753</v>
      </c>
      <c r="F46" s="163">
        <f>Input!F51</f>
        <v>107</v>
      </c>
      <c r="G46" s="163">
        <f>Input!G51</f>
        <v>2</v>
      </c>
      <c r="H46" s="163">
        <f>Input!H51</f>
        <v>1802.4533953144396</v>
      </c>
      <c r="I46" s="163">
        <f>Input!I51</f>
        <v>13165</v>
      </c>
      <c r="J46" s="163">
        <f>Input!J51</f>
        <v>28407</v>
      </c>
      <c r="K46" s="163">
        <f>Input!K51</f>
        <v>508655.61740574852</v>
      </c>
      <c r="L46" s="148">
        <f t="shared" ref="L46:L56" si="19">AB46*$M$45</f>
        <v>369366.94106309762</v>
      </c>
      <c r="M46" s="27"/>
      <c r="N46" s="28" t="s">
        <v>120</v>
      </c>
      <c r="O46" s="30"/>
      <c r="P46" s="30"/>
      <c r="Q46" s="30">
        <f>SUMPRODUCT(E27:E31,E45:E49)+SUMPRODUCT(E36:E38,E54:E56)</f>
        <v>49977.309414706207</v>
      </c>
      <c r="R46" s="30"/>
      <c r="X46" s="30">
        <f>SUMPRODUCT(L27:L31,L45:L49)+SUMPRODUCT(L36:L38,L54:L56)</f>
        <v>1488257.8161359639</v>
      </c>
      <c r="Y46" s="93"/>
      <c r="Z46" s="94"/>
      <c r="AB46" s="159">
        <f>Input!L51</f>
        <v>589248.39564468793</v>
      </c>
      <c r="AD46" s="162"/>
    </row>
    <row r="47" spans="1:32" x14ac:dyDescent="0.2">
      <c r="A47" s="12"/>
      <c r="B47" s="19" t="s">
        <v>9</v>
      </c>
      <c r="C47" s="163">
        <f>Input!C52</f>
        <v>859759.7813358038</v>
      </c>
      <c r="D47" s="163">
        <f>Input!D52</f>
        <v>12823.189214677621</v>
      </c>
      <c r="E47" s="163">
        <f>Input!E52</f>
        <v>15221.798891335045</v>
      </c>
      <c r="F47" s="163">
        <f>Input!F52</f>
        <v>104</v>
      </c>
      <c r="G47" s="163">
        <f>Input!G52</f>
        <v>2</v>
      </c>
      <c r="H47" s="163">
        <f>Input!H52</f>
        <v>1562.8704999867939</v>
      </c>
      <c r="I47" s="163">
        <f>Input!I52</f>
        <v>14162</v>
      </c>
      <c r="J47" s="163">
        <f>Input!J52</f>
        <v>24439</v>
      </c>
      <c r="K47" s="163">
        <f>Input!K52</f>
        <v>532182.31511958165</v>
      </c>
      <c r="L47" s="148">
        <f t="shared" si="19"/>
        <v>384177.74860757339</v>
      </c>
      <c r="M47" s="27"/>
      <c r="N47" s="28" t="s">
        <v>121</v>
      </c>
      <c r="O47" s="30">
        <f>+O45-O46</f>
        <v>6829207.7524193767</v>
      </c>
      <c r="P47" s="30">
        <f>+P45-P46</f>
        <v>87100.673201151687</v>
      </c>
      <c r="Q47" s="30">
        <f>+Q45-Q46</f>
        <v>65269.020438180378</v>
      </c>
      <c r="R47" s="30">
        <f>+R45-R46</f>
        <v>763</v>
      </c>
      <c r="X47" s="30">
        <f>+X45-X46</f>
        <v>1521040.9535274296</v>
      </c>
      <c r="Y47" s="93"/>
      <c r="Z47" s="95"/>
      <c r="AB47" s="159">
        <f>Input!L52</f>
        <v>612875.96924038162</v>
      </c>
    </row>
    <row r="48" spans="1:32" x14ac:dyDescent="0.2">
      <c r="A48" s="12"/>
      <c r="B48" s="19" t="s">
        <v>10</v>
      </c>
      <c r="C48" s="163">
        <f>Input!C53</f>
        <v>706802.15620713064</v>
      </c>
      <c r="D48" s="163">
        <f>Input!D53</f>
        <v>7599.3875947313545</v>
      </c>
      <c r="E48" s="163">
        <f>Input!E53</f>
        <v>11546.825760592019</v>
      </c>
      <c r="F48" s="163">
        <f>Input!F53</f>
        <v>89</v>
      </c>
      <c r="G48" s="163">
        <f>Input!G53</f>
        <v>3</v>
      </c>
      <c r="H48" s="163">
        <f>Input!H53</f>
        <v>752.2387681255118</v>
      </c>
      <c r="I48" s="163">
        <f>Input!I53</f>
        <v>11664</v>
      </c>
      <c r="J48" s="163">
        <f>Input!J53</f>
        <v>21743</v>
      </c>
      <c r="K48" s="163">
        <f>Input!K53</f>
        <v>467643.05810583342</v>
      </c>
      <c r="L48" s="148">
        <f t="shared" si="19"/>
        <v>336532.87089109572</v>
      </c>
      <c r="M48" s="27"/>
      <c r="Y48" s="93"/>
      <c r="AB48" s="159">
        <f>Input!L53</f>
        <v>536868.44221503823</v>
      </c>
    </row>
    <row r="49" spans="1:28" x14ac:dyDescent="0.2">
      <c r="A49" s="12"/>
      <c r="B49" s="19" t="s">
        <v>11</v>
      </c>
      <c r="C49" s="163">
        <f>Input!C54</f>
        <v>795745.36628451792</v>
      </c>
      <c r="D49" s="163">
        <f>Input!D54</f>
        <v>5339.5671869817061</v>
      </c>
      <c r="E49" s="163">
        <f>Input!E54</f>
        <v>13747.295854230371</v>
      </c>
      <c r="F49" s="163">
        <f>Input!F54</f>
        <v>101</v>
      </c>
      <c r="G49" s="163">
        <f>Input!G54</f>
        <v>1</v>
      </c>
      <c r="H49" s="163">
        <f>Input!H54</f>
        <v>416.47922664483241</v>
      </c>
      <c r="I49" s="163">
        <f>Input!I54</f>
        <v>10502</v>
      </c>
      <c r="J49" s="163">
        <f>Input!J54</f>
        <v>25431</v>
      </c>
      <c r="K49" s="163">
        <f>Input!K54</f>
        <v>489759.22586215829</v>
      </c>
      <c r="L49" s="148">
        <f t="shared" si="19"/>
        <v>391070.63091999636</v>
      </c>
      <c r="N49" s="28" t="s">
        <v>62</v>
      </c>
      <c r="O49" s="29">
        <f>SUM(C50:C53)</f>
        <v>5345837.6079719672</v>
      </c>
      <c r="P49" s="30">
        <f t="shared" ref="P49:X49" si="20">+SUM(D50:D53)</f>
        <v>27067.137661153818</v>
      </c>
      <c r="Q49" s="30">
        <f t="shared" si="20"/>
        <v>93815.255735784856</v>
      </c>
      <c r="R49" s="30">
        <f t="shared" si="20"/>
        <v>297</v>
      </c>
      <c r="S49" s="30">
        <f t="shared" si="20"/>
        <v>5</v>
      </c>
      <c r="T49" s="30">
        <f t="shared" si="20"/>
        <v>2717.8489738781332</v>
      </c>
      <c r="U49" s="30">
        <f t="shared" si="20"/>
        <v>43083</v>
      </c>
      <c r="V49" s="30">
        <f t="shared" si="20"/>
        <v>78691</v>
      </c>
      <c r="W49" s="30">
        <f t="shared" si="20"/>
        <v>2398694.3001119765</v>
      </c>
      <c r="X49" s="30">
        <f t="shared" si="20"/>
        <v>1682783.6975705232</v>
      </c>
      <c r="Y49" s="93">
        <f>SUM(O49:X49)</f>
        <v>9672991.8480252828</v>
      </c>
      <c r="Z49" s="95">
        <f>1-Z45</f>
        <v>0.40173384011705227</v>
      </c>
      <c r="AB49" s="159">
        <f>Input!L54</f>
        <v>623872.13427960488</v>
      </c>
    </row>
    <row r="50" spans="1:28" x14ac:dyDescent="0.2">
      <c r="A50" s="12"/>
      <c r="B50" s="19" t="s">
        <v>12</v>
      </c>
      <c r="C50" s="163">
        <f>Input!C55</f>
        <v>1234300.6024262116</v>
      </c>
      <c r="D50" s="163">
        <f>Input!D55</f>
        <v>6871.3082846985508</v>
      </c>
      <c r="E50" s="163">
        <f>Input!E55</f>
        <v>21648.300010960898</v>
      </c>
      <c r="F50" s="163">
        <f>Input!F55</f>
        <v>89</v>
      </c>
      <c r="G50" s="163">
        <f>Input!G55</f>
        <v>2</v>
      </c>
      <c r="H50" s="163">
        <f>Input!H55</f>
        <v>650.0510815879137</v>
      </c>
      <c r="I50" s="163">
        <f>Input!I55</f>
        <v>9790</v>
      </c>
      <c r="J50" s="163">
        <f>Input!J55</f>
        <v>18792</v>
      </c>
      <c r="K50" s="163">
        <f>Input!K55</f>
        <v>574867.69636104361</v>
      </c>
      <c r="L50" s="148">
        <f t="shared" si="19"/>
        <v>400160.73441899428</v>
      </c>
      <c r="M50" s="27"/>
      <c r="N50" s="28" t="s">
        <v>120</v>
      </c>
      <c r="O50" s="29"/>
      <c r="Q50" s="30">
        <f>+SUMPRODUCT(E32:E35,E50:E53)</f>
        <v>45116.387848988881</v>
      </c>
      <c r="X50" s="30">
        <f>+SUMPRODUCT(L32:L35,L50:L53)</f>
        <v>857774.44684322341</v>
      </c>
      <c r="Y50" s="93"/>
      <c r="Z50" s="94"/>
      <c r="AB50" s="159">
        <f>Input!L55</f>
        <v>638373.51030316646</v>
      </c>
    </row>
    <row r="51" spans="1:28" x14ac:dyDescent="0.2">
      <c r="A51" s="12"/>
      <c r="B51" s="19" t="s">
        <v>13</v>
      </c>
      <c r="C51" s="163">
        <f>Input!C56</f>
        <v>1594245.8910574703</v>
      </c>
      <c r="D51" s="163">
        <f>Input!D56</f>
        <v>7582.1662707095538</v>
      </c>
      <c r="E51" s="163">
        <f>Input!E56</f>
        <v>27132.548552028791</v>
      </c>
      <c r="F51" s="163">
        <f>Input!F56</f>
        <v>73</v>
      </c>
      <c r="G51" s="163">
        <f>Input!G56</f>
        <v>1</v>
      </c>
      <c r="H51" s="163">
        <f>Input!H56</f>
        <v>745.36900768600935</v>
      </c>
      <c r="I51" s="163">
        <f>Input!I56</f>
        <v>9988</v>
      </c>
      <c r="J51" s="163">
        <f>Input!J56</f>
        <v>15816</v>
      </c>
      <c r="K51" s="163">
        <f>Input!K56</f>
        <v>644389.68902204023</v>
      </c>
      <c r="L51" s="148">
        <f t="shared" si="19"/>
        <v>455701.87577472551</v>
      </c>
      <c r="M51" s="27"/>
      <c r="N51" s="28" t="s">
        <v>121</v>
      </c>
      <c r="O51" s="29"/>
      <c r="Q51" s="30">
        <f>+Q49-Q50</f>
        <v>48698.867886795975</v>
      </c>
      <c r="X51" s="30">
        <f>+X49-X50</f>
        <v>825009.25072729983</v>
      </c>
      <c r="Y51" s="93"/>
      <c r="Z51" s="95"/>
      <c r="AB51" s="159">
        <f>Input!L56</f>
        <v>726977.88930347539</v>
      </c>
    </row>
    <row r="52" spans="1:28" x14ac:dyDescent="0.2">
      <c r="A52" s="12"/>
      <c r="B52" s="19" t="s">
        <v>14</v>
      </c>
      <c r="C52" s="163">
        <f>Input!C57</f>
        <v>1478831.7914122394</v>
      </c>
      <c r="D52" s="163">
        <f>Input!D57</f>
        <v>7078.9209131835951</v>
      </c>
      <c r="E52" s="163">
        <f>Input!E57</f>
        <v>26246.718283564122</v>
      </c>
      <c r="F52" s="163">
        <f>Input!F57</f>
        <v>69</v>
      </c>
      <c r="G52" s="163">
        <f>Input!G57</f>
        <v>1</v>
      </c>
      <c r="H52" s="163">
        <f>Input!H57</f>
        <v>715.31380576318645</v>
      </c>
      <c r="I52" s="163">
        <f>Input!I57</f>
        <v>11339</v>
      </c>
      <c r="J52" s="163">
        <f>Input!J57</f>
        <v>22714</v>
      </c>
      <c r="K52" s="163">
        <f>Input!K57</f>
        <v>640905.18467680831</v>
      </c>
      <c r="L52" s="148">
        <f t="shared" si="19"/>
        <v>449824.63606807613</v>
      </c>
      <c r="M52" s="27"/>
      <c r="AB52" s="159">
        <f>Input!L57</f>
        <v>717601.97152914805</v>
      </c>
    </row>
    <row r="53" spans="1:28" x14ac:dyDescent="0.2">
      <c r="A53" s="12"/>
      <c r="B53" s="19" t="s">
        <v>15</v>
      </c>
      <c r="C53" s="163">
        <f>Input!C58</f>
        <v>1038459.3230760464</v>
      </c>
      <c r="D53" s="163">
        <f>Input!D58</f>
        <v>5534.7421925621156</v>
      </c>
      <c r="E53" s="163">
        <f>Input!E58</f>
        <v>18787.688889231042</v>
      </c>
      <c r="F53" s="163">
        <f>Input!F58</f>
        <v>66</v>
      </c>
      <c r="G53" s="163">
        <f>Input!G58</f>
        <v>1</v>
      </c>
      <c r="H53" s="163">
        <f>Input!H58</f>
        <v>607.11507884102377</v>
      </c>
      <c r="I53" s="163">
        <f>Input!I58</f>
        <v>11966</v>
      </c>
      <c r="J53" s="163">
        <f>Input!J58</f>
        <v>21369</v>
      </c>
      <c r="K53" s="163">
        <f>Input!K58</f>
        <v>538531.73005208408</v>
      </c>
      <c r="L53" s="148">
        <f t="shared" si="19"/>
        <v>377096.45130872726</v>
      </c>
      <c r="M53" s="27"/>
      <c r="N53" s="28" t="s">
        <v>163</v>
      </c>
      <c r="O53" s="29">
        <f>+O49*C163</f>
        <v>3458756.9323578631</v>
      </c>
      <c r="P53" s="29">
        <f>+P49*D163</f>
        <v>17133.498139510368</v>
      </c>
      <c r="AB53" s="159">
        <f>Input!L58</f>
        <v>601579.22714316356</v>
      </c>
    </row>
    <row r="54" spans="1:28" x14ac:dyDescent="0.2">
      <c r="A54" s="12"/>
      <c r="B54" s="19" t="s">
        <v>16</v>
      </c>
      <c r="C54" s="163">
        <f>Input!C59</f>
        <v>797805.58946444187</v>
      </c>
      <c r="D54" s="163">
        <f>Input!D59</f>
        <v>6811.9903908456808</v>
      </c>
      <c r="E54" s="163">
        <f>Input!E59</f>
        <v>13833.810063040084</v>
      </c>
      <c r="F54" s="163">
        <f>Input!F59</f>
        <v>84</v>
      </c>
      <c r="G54" s="163">
        <f>Input!G59</f>
        <v>1</v>
      </c>
      <c r="H54" s="163">
        <f>Input!H59</f>
        <v>803.76197142177966</v>
      </c>
      <c r="I54" s="163">
        <f>Input!I59</f>
        <v>14720</v>
      </c>
      <c r="J54" s="163">
        <f>Input!J59</f>
        <v>24732</v>
      </c>
      <c r="K54" s="163">
        <f>Input!K59</f>
        <v>512664.7057190577</v>
      </c>
      <c r="L54" s="148">
        <f t="shared" si="19"/>
        <v>391808.35120306321</v>
      </c>
      <c r="M54" s="27"/>
      <c r="N54" s="28" t="s">
        <v>164</v>
      </c>
      <c r="O54" s="30">
        <f>+O49-O53</f>
        <v>1887080.6756141041</v>
      </c>
      <c r="P54" s="30">
        <f>+P49-P53</f>
        <v>9933.6395216434503</v>
      </c>
      <c r="AB54" s="159">
        <f>Input!L59</f>
        <v>625049.01408368419</v>
      </c>
    </row>
    <row r="55" spans="1:28" x14ac:dyDescent="0.2">
      <c r="A55" s="12"/>
      <c r="B55" s="19" t="s">
        <v>17</v>
      </c>
      <c r="C55" s="163">
        <f>Input!C60</f>
        <v>763541.96953912545</v>
      </c>
      <c r="D55" s="163">
        <f>Input!D60</f>
        <v>8812.5341980448829</v>
      </c>
      <c r="E55" s="163">
        <f>Input!E60</f>
        <v>12217.310878867294</v>
      </c>
      <c r="F55" s="163">
        <f>Input!F60</f>
        <v>80</v>
      </c>
      <c r="G55" s="163">
        <f>Input!G60</f>
        <v>1</v>
      </c>
      <c r="H55" s="163">
        <f>Input!H60</f>
        <v>936.00485988220066</v>
      </c>
      <c r="I55" s="163">
        <f>Input!I60</f>
        <v>14692</v>
      </c>
      <c r="J55" s="163">
        <f>Input!J60</f>
        <v>28357</v>
      </c>
      <c r="K55" s="163">
        <f>Input!K60</f>
        <v>454374.98155101086</v>
      </c>
      <c r="L55" s="148">
        <f t="shared" si="19"/>
        <v>351489.99636429053</v>
      </c>
      <c r="M55" s="27"/>
      <c r="AB55" s="159">
        <f>Input!L60</f>
        <v>560729.43573863234</v>
      </c>
    </row>
    <row r="56" spans="1:28" x14ac:dyDescent="0.2">
      <c r="A56" s="12"/>
      <c r="B56" s="19" t="s">
        <v>18</v>
      </c>
      <c r="C56" s="163">
        <f>Input!C61</f>
        <v>986147.24042398902</v>
      </c>
      <c r="D56" s="163">
        <f>Input!D61</f>
        <v>13280.511041478778</v>
      </c>
      <c r="E56" s="163">
        <f>Input!E61</f>
        <v>15677.879231255814</v>
      </c>
      <c r="F56" s="163">
        <f>Input!F61</f>
        <v>88</v>
      </c>
      <c r="G56" s="163">
        <f>Input!G61</f>
        <v>2</v>
      </c>
      <c r="H56" s="163">
        <f>Input!H61</f>
        <v>1453.8130530096932</v>
      </c>
      <c r="I56" s="163">
        <f>Input!I61</f>
        <v>16661</v>
      </c>
      <c r="J56" s="163">
        <f>Input!J61</f>
        <v>31646</v>
      </c>
      <c r="K56" s="163">
        <f>Input!K61</f>
        <v>521804.32268610148</v>
      </c>
      <c r="L56" s="148">
        <f t="shared" si="19"/>
        <v>388456.11754006334</v>
      </c>
      <c r="M56" s="27"/>
      <c r="AB56" s="159">
        <f>Input!L61</f>
        <v>619701.22009306995</v>
      </c>
    </row>
    <row r="57" spans="1:28" x14ac:dyDescent="0.2">
      <c r="A57" s="12"/>
      <c r="B57" s="31" t="s">
        <v>19</v>
      </c>
      <c r="C57" s="30">
        <f>SUM(C45:C56)</f>
        <v>12175045.360391345</v>
      </c>
      <c r="D57" s="30">
        <f>SUM(D45:D56)</f>
        <v>114167.8108623055</v>
      </c>
      <c r="E57" s="30">
        <f t="shared" ref="E57:K57" si="21">SUM(E45:E56)</f>
        <v>209061.58558867144</v>
      </c>
      <c r="F57" s="30">
        <f t="shared" si="21"/>
        <v>1060</v>
      </c>
      <c r="G57" s="30">
        <f t="shared" si="21"/>
        <v>19</v>
      </c>
      <c r="H57" s="30">
        <f>SUM(H45:H56)</f>
        <v>12369.003671324053</v>
      </c>
      <c r="I57" s="30">
        <f>SUM(I45:I56)</f>
        <v>155848</v>
      </c>
      <c r="J57" s="30">
        <f>SUM(J45:J56)</f>
        <v>295094</v>
      </c>
      <c r="K57" s="30">
        <f t="shared" si="21"/>
        <v>6423363.4069126565</v>
      </c>
      <c r="L57" s="30">
        <f>SUM(L45:L56)</f>
        <v>4692082.4672339158</v>
      </c>
      <c r="M57" s="30"/>
      <c r="O57" s="6" t="s">
        <v>190</v>
      </c>
      <c r="AB57" s="30">
        <f>SUM(AB45:AB56)</f>
        <v>7485245.0468160696</v>
      </c>
    </row>
    <row r="58" spans="1:28" x14ac:dyDescent="0.2">
      <c r="A58" s="12"/>
      <c r="B58" s="19"/>
      <c r="C58" s="67"/>
      <c r="D58" s="67"/>
      <c r="E58" s="67"/>
      <c r="F58" s="67"/>
      <c r="G58" s="67"/>
      <c r="H58" s="67"/>
      <c r="I58" s="67"/>
      <c r="J58" s="67"/>
      <c r="K58" s="67"/>
      <c r="L58" s="67"/>
      <c r="O58" s="7" t="s">
        <v>191</v>
      </c>
      <c r="AB58" s="96"/>
    </row>
    <row r="59" spans="1:28" x14ac:dyDescent="0.2">
      <c r="A59" s="12"/>
      <c r="L59" s="30"/>
      <c r="Y59" s="18" t="s">
        <v>19</v>
      </c>
      <c r="Z59" s="18" t="s">
        <v>194</v>
      </c>
      <c r="AB59" s="96"/>
    </row>
    <row r="60" spans="1:28" x14ac:dyDescent="0.2">
      <c r="A60" s="8" t="s">
        <v>76</v>
      </c>
      <c r="B60" s="6" t="s">
        <v>39</v>
      </c>
      <c r="G60" s="32" t="s">
        <v>66</v>
      </c>
      <c r="H60" s="6" t="s">
        <v>179</v>
      </c>
      <c r="N60" s="36" t="s">
        <v>54</v>
      </c>
    </row>
    <row r="61" spans="1:28" s="33" customFormat="1" x14ac:dyDescent="0.2">
      <c r="A61" s="12"/>
      <c r="B61" s="7" t="s">
        <v>234</v>
      </c>
      <c r="D61" s="18" t="s">
        <v>178</v>
      </c>
      <c r="E61" s="18" t="s">
        <v>177</v>
      </c>
      <c r="G61" s="11"/>
      <c r="N61" s="28" t="s">
        <v>120</v>
      </c>
      <c r="O61" s="29">
        <f>SUMPRODUCT(C9:C13,C45:C49)+SUMPRODUCT(C18:C20,C54:C56)</f>
        <v>3325908.4249412362</v>
      </c>
      <c r="P61" s="29">
        <f t="shared" ref="P61:X61" si="22">SUMPRODUCT(D9:D13,D45:D49)+SUMPRODUCT(D18:D20,D54:D56)</f>
        <v>42296.240654633162</v>
      </c>
      <c r="Q61" s="29">
        <f t="shared" si="22"/>
        <v>57633.76639639827</v>
      </c>
      <c r="R61" s="29">
        <f t="shared" si="22"/>
        <v>345.06790000000001</v>
      </c>
      <c r="S61" s="29">
        <f t="shared" si="22"/>
        <v>6.367</v>
      </c>
      <c r="T61" s="29">
        <f t="shared" si="22"/>
        <v>4761.3757449195746</v>
      </c>
      <c r="U61" s="29">
        <f t="shared" si="22"/>
        <v>31085.938999999998</v>
      </c>
      <c r="V61" s="29">
        <f t="shared" si="22"/>
        <v>59403.095799999996</v>
      </c>
      <c r="W61" s="29">
        <f t="shared" si="22"/>
        <v>2312169.2528914935</v>
      </c>
      <c r="X61" s="29">
        <f t="shared" si="22"/>
        <v>1673945.8932639481</v>
      </c>
      <c r="Y61" s="93">
        <f>SUM(O61:X61)</f>
        <v>7507555.4235926289</v>
      </c>
      <c r="Z61" s="94">
        <f>+Y61/(Y61+Y62)</f>
        <v>0.52117275357410697</v>
      </c>
    </row>
    <row r="62" spans="1:28" x14ac:dyDescent="0.2">
      <c r="A62" s="12"/>
      <c r="C62" s="18" t="s">
        <v>20</v>
      </c>
      <c r="D62" s="18" t="s">
        <v>176</v>
      </c>
      <c r="E62" s="18" t="s">
        <v>21</v>
      </c>
      <c r="G62" s="18"/>
      <c r="H62" s="18" t="s">
        <v>20</v>
      </c>
      <c r="I62" s="18" t="s">
        <v>21</v>
      </c>
      <c r="N62" s="28" t="s">
        <v>121</v>
      </c>
      <c r="O62" s="30">
        <f>+O45-O61</f>
        <v>3503299.3274781406</v>
      </c>
      <c r="P62" s="30">
        <f t="shared" ref="P62:X62" si="23">+P45-P61</f>
        <v>44804.432546518525</v>
      </c>
      <c r="Q62" s="30">
        <f t="shared" si="23"/>
        <v>57612.563456488315</v>
      </c>
      <c r="R62" s="30">
        <f t="shared" si="23"/>
        <v>417.93209999999999</v>
      </c>
      <c r="S62" s="30">
        <f t="shared" si="23"/>
        <v>7.633</v>
      </c>
      <c r="T62" s="30">
        <f t="shared" si="23"/>
        <v>4889.7789525263452</v>
      </c>
      <c r="U62" s="30">
        <f t="shared" si="23"/>
        <v>81679.061000000002</v>
      </c>
      <c r="V62" s="30">
        <f t="shared" si="23"/>
        <v>156999.90419999999</v>
      </c>
      <c r="W62" s="30">
        <f t="shared" si="23"/>
        <v>1712499.8539091875</v>
      </c>
      <c r="X62" s="30">
        <f t="shared" si="23"/>
        <v>1335352.8763994453</v>
      </c>
      <c r="Y62" s="93">
        <f t="shared" ref="Y62:Y69" si="24">SUM(O62:X62)</f>
        <v>6897563.3630423071</v>
      </c>
      <c r="Z62" s="95">
        <f>1-Z61</f>
        <v>0.47882724642589303</v>
      </c>
    </row>
    <row r="63" spans="1:28" x14ac:dyDescent="0.2">
      <c r="A63" s="12"/>
      <c r="B63" s="19" t="s">
        <v>7</v>
      </c>
      <c r="C63" s="164">
        <f>Input!C73</f>
        <v>48.23</v>
      </c>
      <c r="D63" s="89">
        <f>Input!F74</f>
        <v>0.74945337279191615</v>
      </c>
      <c r="E63" s="78">
        <f>ROUND(+C63*D63,3)</f>
        <v>36.146000000000001</v>
      </c>
      <c r="H63" s="23">
        <f>Input!F81</f>
        <v>0.98085862775435639</v>
      </c>
      <c r="I63" s="23">
        <f>Input!G81</f>
        <v>0.96397847917778534</v>
      </c>
      <c r="J63" s="326" t="s">
        <v>377</v>
      </c>
      <c r="Y63" s="93"/>
    </row>
    <row r="64" spans="1:28" x14ac:dyDescent="0.2">
      <c r="A64" s="12"/>
      <c r="B64" s="19" t="s">
        <v>8</v>
      </c>
      <c r="C64" s="164">
        <f>Input!C74</f>
        <v>46.02</v>
      </c>
      <c r="D64" s="117">
        <f>+$D$63</f>
        <v>0.74945337279191615</v>
      </c>
      <c r="E64" s="78">
        <f>ROUND(+C64*D64,3)</f>
        <v>34.49</v>
      </c>
      <c r="H64" s="137">
        <f>+$H$63</f>
        <v>0.98085862775435639</v>
      </c>
      <c r="I64" s="137">
        <f>+$I$63</f>
        <v>0.96397847917778534</v>
      </c>
      <c r="J64" s="118"/>
      <c r="N64" s="36" t="s">
        <v>53</v>
      </c>
      <c r="Y64" s="93"/>
    </row>
    <row r="65" spans="1:26" x14ac:dyDescent="0.2">
      <c r="A65" s="12"/>
      <c r="B65" s="19" t="s">
        <v>9</v>
      </c>
      <c r="C65" s="164">
        <f>Input!C75</f>
        <v>36.97</v>
      </c>
      <c r="D65" s="117">
        <f>+$D$63</f>
        <v>0.74945337279191615</v>
      </c>
      <c r="E65" s="78">
        <f t="shared" ref="E65:E74" si="25">ROUND(+C65*D65,3)</f>
        <v>27.707000000000001</v>
      </c>
      <c r="H65" s="137">
        <f>+$H$63</f>
        <v>0.98085862775435639</v>
      </c>
      <c r="I65" s="137">
        <f>+$I$63</f>
        <v>0.96397847917778534</v>
      </c>
      <c r="J65" s="118" t="s">
        <v>326</v>
      </c>
      <c r="N65" s="28" t="s">
        <v>120</v>
      </c>
      <c r="O65" s="29">
        <f>SUMPRODUCT(C14:C17,C50:C53)</f>
        <v>2780933.6249391846</v>
      </c>
      <c r="P65" s="29">
        <f t="shared" ref="P65:X65" si="26">SUMPRODUCT(D14:D17,D50:D53)</f>
        <v>14397.368055789211</v>
      </c>
      <c r="Q65" s="29">
        <f t="shared" si="26"/>
        <v>50869.460016310339</v>
      </c>
      <c r="R65" s="29">
        <f t="shared" si="26"/>
        <v>143.7105</v>
      </c>
      <c r="S65" s="29">
        <f t="shared" si="26"/>
        <v>2.4093999999999998</v>
      </c>
      <c r="T65" s="29">
        <f t="shared" si="26"/>
        <v>1732.8240796598084</v>
      </c>
      <c r="U65" s="29">
        <f t="shared" si="26"/>
        <v>9193.0655999999999</v>
      </c>
      <c r="V65" s="29">
        <f t="shared" si="26"/>
        <v>16811.574499999999</v>
      </c>
      <c r="W65" s="29">
        <f t="shared" si="26"/>
        <v>1442809.3385670115</v>
      </c>
      <c r="X65" s="29">
        <f t="shared" si="26"/>
        <v>960998.38359359582</v>
      </c>
      <c r="Y65" s="93">
        <f t="shared" si="24"/>
        <v>5277891.7592515508</v>
      </c>
      <c r="Z65" s="94">
        <f>+Y65/(Y65+Y66)</f>
        <v>0.54563177992639555</v>
      </c>
    </row>
    <row r="66" spans="1:26" x14ac:dyDescent="0.2">
      <c r="A66" s="12"/>
      <c r="B66" s="19" t="s">
        <v>10</v>
      </c>
      <c r="C66" s="164">
        <f>Input!C76</f>
        <v>32.630000000000003</v>
      </c>
      <c r="D66" s="117">
        <f>+$D$63</f>
        <v>0.74945337279191615</v>
      </c>
      <c r="E66" s="78">
        <f t="shared" si="25"/>
        <v>24.454999999999998</v>
      </c>
      <c r="H66" s="137">
        <f>+$H$63</f>
        <v>0.98085862775435639</v>
      </c>
      <c r="I66" s="137">
        <f>+$I$63</f>
        <v>0.96397847917778534</v>
      </c>
      <c r="J66" s="118" t="s">
        <v>378</v>
      </c>
      <c r="N66" s="28" t="s">
        <v>121</v>
      </c>
      <c r="O66" s="30">
        <f>+O49-O65</f>
        <v>2564903.9830327826</v>
      </c>
      <c r="P66" s="30">
        <f t="shared" ref="P66:X66" si="27">+P49-P65</f>
        <v>12669.769605364607</v>
      </c>
      <c r="Q66" s="30">
        <f t="shared" si="27"/>
        <v>42945.795719474518</v>
      </c>
      <c r="R66" s="30">
        <f t="shared" si="27"/>
        <v>153.2895</v>
      </c>
      <c r="S66" s="30">
        <f t="shared" si="27"/>
        <v>2.5906000000000002</v>
      </c>
      <c r="T66" s="30">
        <f t="shared" si="27"/>
        <v>985.02489421832479</v>
      </c>
      <c r="U66" s="30">
        <f t="shared" si="27"/>
        <v>33889.934399999998</v>
      </c>
      <c r="V66" s="30">
        <f t="shared" si="27"/>
        <v>61879.425499999998</v>
      </c>
      <c r="W66" s="30">
        <f t="shared" si="27"/>
        <v>955884.96154496493</v>
      </c>
      <c r="X66" s="30">
        <f t="shared" si="27"/>
        <v>721785.31397692743</v>
      </c>
      <c r="Y66" s="93">
        <f t="shared" si="24"/>
        <v>4395100.088773733</v>
      </c>
      <c r="Z66" s="95">
        <f>1-Z65</f>
        <v>0.45436822007360445</v>
      </c>
    </row>
    <row r="67" spans="1:26" x14ac:dyDescent="0.2">
      <c r="A67" s="12"/>
      <c r="B67" s="19" t="s">
        <v>11</v>
      </c>
      <c r="C67" s="164">
        <f>Input!C77</f>
        <v>32</v>
      </c>
      <c r="D67" s="117">
        <f>+$D$63</f>
        <v>0.74945337279191615</v>
      </c>
      <c r="E67" s="78">
        <f t="shared" si="25"/>
        <v>23.983000000000001</v>
      </c>
      <c r="H67" s="137">
        <f>+$H$63</f>
        <v>0.98085862775435639</v>
      </c>
      <c r="I67" s="137">
        <f>+$I$63</f>
        <v>0.96397847917778534</v>
      </c>
      <c r="J67" s="118" t="s">
        <v>379</v>
      </c>
      <c r="Y67" s="93"/>
    </row>
    <row r="68" spans="1:26" x14ac:dyDescent="0.2">
      <c r="A68" s="12"/>
      <c r="B68" s="19" t="s">
        <v>12</v>
      </c>
      <c r="C68" s="164">
        <f>Input!C78</f>
        <v>34.36</v>
      </c>
      <c r="D68" s="165">
        <f>Input!F73</f>
        <v>0.64759218661486828</v>
      </c>
      <c r="E68" s="78">
        <f t="shared" si="25"/>
        <v>22.251000000000001</v>
      </c>
      <c r="H68" s="166">
        <f>Input!F80</f>
        <v>0.93443637421483516</v>
      </c>
      <c r="I68" s="166">
        <f>Input!G80</f>
        <v>0.86826091477797551</v>
      </c>
      <c r="N68" s="28" t="s">
        <v>192</v>
      </c>
      <c r="O68" s="30">
        <f>+O61+O65</f>
        <v>6106842.0498804208</v>
      </c>
      <c r="P68" s="30">
        <f t="shared" ref="P68:X68" si="28">+P61+P65</f>
        <v>56693.60871042237</v>
      </c>
      <c r="Q68" s="30">
        <f t="shared" si="28"/>
        <v>108503.22641270861</v>
      </c>
      <c r="R68" s="30">
        <f t="shared" si="28"/>
        <v>488.77840000000003</v>
      </c>
      <c r="S68" s="30">
        <f t="shared" si="28"/>
        <v>8.7763999999999989</v>
      </c>
      <c r="T68" s="30">
        <f t="shared" si="28"/>
        <v>6494.1998245793829</v>
      </c>
      <c r="U68" s="30">
        <f t="shared" si="28"/>
        <v>40279.0046</v>
      </c>
      <c r="V68" s="30">
        <f t="shared" si="28"/>
        <v>76214.670299999998</v>
      </c>
      <c r="W68" s="30">
        <f t="shared" si="28"/>
        <v>3754978.591458505</v>
      </c>
      <c r="X68" s="30">
        <f t="shared" si="28"/>
        <v>2634944.2768575437</v>
      </c>
      <c r="Y68" s="93">
        <f t="shared" si="24"/>
        <v>12785447.182844181</v>
      </c>
      <c r="Z68" s="94">
        <f>+Y68/(Y68+Y69)</f>
        <v>0.53099877215613611</v>
      </c>
    </row>
    <row r="69" spans="1:26" x14ac:dyDescent="0.2">
      <c r="A69" s="12"/>
      <c r="B69" s="19" t="s">
        <v>13</v>
      </c>
      <c r="C69" s="164">
        <f>Input!C79</f>
        <v>38.950000000000003</v>
      </c>
      <c r="D69" s="134">
        <f>+$D$68</f>
        <v>0.64759218661486828</v>
      </c>
      <c r="E69" s="78">
        <f t="shared" si="25"/>
        <v>25.224</v>
      </c>
      <c r="H69" s="138">
        <f>+$H$68</f>
        <v>0.93443637421483516</v>
      </c>
      <c r="I69" s="138">
        <f>+$I$68</f>
        <v>0.86826091477797551</v>
      </c>
      <c r="N69" s="28" t="s">
        <v>193</v>
      </c>
      <c r="O69" s="30">
        <f>+O62+O66</f>
        <v>6068203.3105109232</v>
      </c>
      <c r="P69" s="30">
        <f t="shared" ref="P69:X69" si="29">+P62+P66</f>
        <v>57474.202151883132</v>
      </c>
      <c r="Q69" s="30">
        <f t="shared" si="29"/>
        <v>100558.35917596283</v>
      </c>
      <c r="R69" s="30">
        <f t="shared" si="29"/>
        <v>571.22159999999997</v>
      </c>
      <c r="S69" s="30">
        <f t="shared" si="29"/>
        <v>10.223600000000001</v>
      </c>
      <c r="T69" s="30">
        <f t="shared" si="29"/>
        <v>5874.8038467446695</v>
      </c>
      <c r="U69" s="30">
        <f t="shared" si="29"/>
        <v>115568.9954</v>
      </c>
      <c r="V69" s="30">
        <f t="shared" si="29"/>
        <v>218879.3297</v>
      </c>
      <c r="W69" s="30">
        <f t="shared" si="29"/>
        <v>2668384.8154541524</v>
      </c>
      <c r="X69" s="30">
        <f t="shared" si="29"/>
        <v>2057138.1903763728</v>
      </c>
      <c r="Y69" s="93">
        <f t="shared" si="24"/>
        <v>11292663.451816039</v>
      </c>
      <c r="Z69" s="95">
        <f>1-Z68</f>
        <v>0.46900122784386389</v>
      </c>
    </row>
    <row r="70" spans="1:26" x14ac:dyDescent="0.2">
      <c r="A70" s="12"/>
      <c r="B70" s="19" t="s">
        <v>14</v>
      </c>
      <c r="C70" s="164">
        <f>Input!C80</f>
        <v>36</v>
      </c>
      <c r="D70" s="134">
        <f>+$D$68</f>
        <v>0.64759218661486828</v>
      </c>
      <c r="E70" s="78">
        <f t="shared" si="25"/>
        <v>23.312999999999999</v>
      </c>
      <c r="H70" s="138">
        <f>+$H$68</f>
        <v>0.93443637421483516</v>
      </c>
      <c r="I70" s="138">
        <f>+$I$68</f>
        <v>0.86826091477797551</v>
      </c>
    </row>
    <row r="71" spans="1:26" x14ac:dyDescent="0.2">
      <c r="A71" s="12"/>
      <c r="B71" s="19" t="s">
        <v>15</v>
      </c>
      <c r="C71" s="164">
        <f>Input!C81</f>
        <v>34.44</v>
      </c>
      <c r="D71" s="135">
        <f>+$D$68</f>
        <v>0.64759218661486828</v>
      </c>
      <c r="E71" s="78">
        <f t="shared" si="25"/>
        <v>22.303000000000001</v>
      </c>
      <c r="H71" s="139">
        <f>+$H$68</f>
        <v>0.93443637421483516</v>
      </c>
      <c r="I71" s="139">
        <f>+$I$68</f>
        <v>0.86826091477797551</v>
      </c>
    </row>
    <row r="72" spans="1:26" x14ac:dyDescent="0.2">
      <c r="A72" s="12"/>
      <c r="B72" s="19" t="s">
        <v>16</v>
      </c>
      <c r="C72" s="164">
        <f>Input!C82</f>
        <v>32.42</v>
      </c>
      <c r="D72" s="136">
        <f>+$D$63</f>
        <v>0.74945337279191615</v>
      </c>
      <c r="E72" s="78">
        <f t="shared" si="25"/>
        <v>24.297000000000001</v>
      </c>
      <c r="H72" s="137">
        <f>+$H$63</f>
        <v>0.98085862775435639</v>
      </c>
      <c r="I72" s="137">
        <f>+$I$63</f>
        <v>0.96397847917778534</v>
      </c>
    </row>
    <row r="73" spans="1:26" x14ac:dyDescent="0.2">
      <c r="A73" s="12"/>
      <c r="B73" s="19" t="s">
        <v>17</v>
      </c>
      <c r="C73" s="164">
        <f>Input!C83</f>
        <v>32.43</v>
      </c>
      <c r="D73" s="117">
        <f>+$D$63</f>
        <v>0.74945337279191615</v>
      </c>
      <c r="E73" s="78">
        <f t="shared" si="25"/>
        <v>24.305</v>
      </c>
      <c r="H73" s="137">
        <f>+$H$63</f>
        <v>0.98085862775435639</v>
      </c>
      <c r="I73" s="137">
        <f>+$I$63</f>
        <v>0.96397847917778534</v>
      </c>
    </row>
    <row r="74" spans="1:26" x14ac:dyDescent="0.2">
      <c r="A74" s="12"/>
      <c r="B74" s="19" t="s">
        <v>18</v>
      </c>
      <c r="C74" s="164">
        <f>Input!C84</f>
        <v>36.58</v>
      </c>
      <c r="D74" s="117">
        <f>+$D$63</f>
        <v>0.74945337279191615</v>
      </c>
      <c r="E74" s="78">
        <f t="shared" si="25"/>
        <v>27.414999999999999</v>
      </c>
      <c r="H74" s="137">
        <f>+$H$63</f>
        <v>0.98085862775435639</v>
      </c>
      <c r="I74" s="137">
        <f>+$I$63</f>
        <v>0.96397847917778534</v>
      </c>
    </row>
    <row r="75" spans="1:26" x14ac:dyDescent="0.2">
      <c r="A75" s="12"/>
      <c r="B75" s="19"/>
      <c r="C75" s="34"/>
      <c r="D75" s="34"/>
      <c r="G75" s="35"/>
      <c r="K75" s="35"/>
    </row>
    <row r="76" spans="1:26" x14ac:dyDescent="0.2">
      <c r="A76" s="12"/>
      <c r="B76" s="37"/>
      <c r="C76" s="37"/>
      <c r="D76" s="34"/>
      <c r="G76" s="35"/>
      <c r="K76" s="35"/>
    </row>
    <row r="77" spans="1:26" x14ac:dyDescent="0.2">
      <c r="A77" s="8" t="s">
        <v>67</v>
      </c>
      <c r="B77" s="25" t="s">
        <v>42</v>
      </c>
      <c r="C77" s="18" t="str">
        <f>+C7</f>
        <v>RS</v>
      </c>
      <c r="D77" s="18" t="str">
        <f t="shared" ref="D77:L77" si="30">+D7</f>
        <v>RHS</v>
      </c>
      <c r="E77" s="18" t="str">
        <f t="shared" si="30"/>
        <v>RLM</v>
      </c>
      <c r="F77" s="18" t="str">
        <f t="shared" si="30"/>
        <v>WH</v>
      </c>
      <c r="G77" s="18" t="str">
        <f t="shared" si="30"/>
        <v>WHS</v>
      </c>
      <c r="H77" s="18" t="str">
        <f t="shared" si="30"/>
        <v>HS</v>
      </c>
      <c r="I77" s="18" t="str">
        <f t="shared" si="30"/>
        <v>PSAL</v>
      </c>
      <c r="J77" s="18" t="str">
        <f t="shared" si="30"/>
        <v>BPL</v>
      </c>
      <c r="K77" s="18" t="str">
        <f t="shared" si="30"/>
        <v>GLP</v>
      </c>
      <c r="L77" s="18" t="str">
        <f t="shared" si="30"/>
        <v>LPL-S</v>
      </c>
      <c r="M77" s="18"/>
      <c r="P77" s="128" t="s">
        <v>300</v>
      </c>
      <c r="Q77" s="128" t="s">
        <v>301</v>
      </c>
      <c r="R77" s="128" t="s">
        <v>299</v>
      </c>
    </row>
    <row r="78" spans="1:26" x14ac:dyDescent="0.2">
      <c r="A78" s="12"/>
      <c r="B78" s="26" t="s">
        <v>280</v>
      </c>
      <c r="C78" s="106"/>
      <c r="D78" s="36"/>
      <c r="E78" s="36"/>
      <c r="F78" s="36"/>
      <c r="P78" s="1" t="s">
        <v>297</v>
      </c>
      <c r="Q78" s="320">
        <f>Input!C89</f>
        <v>7.5377E-2</v>
      </c>
      <c r="R78" s="1" t="s">
        <v>302</v>
      </c>
    </row>
    <row r="79" spans="1:26" x14ac:dyDescent="0.2">
      <c r="A79" s="12"/>
      <c r="B79" s="19" t="s">
        <v>264</v>
      </c>
      <c r="C79" s="278">
        <f>1-((1-$Q$78)*(1-$Q$79))</f>
        <v>7.9593280880000061E-2</v>
      </c>
      <c r="D79" s="142">
        <f>+$C79</f>
        <v>7.9593280880000061E-2</v>
      </c>
      <c r="E79" s="142">
        <f t="shared" ref="E79:L79" si="31">+$C79</f>
        <v>7.9593280880000061E-2</v>
      </c>
      <c r="F79" s="142">
        <f t="shared" si="31"/>
        <v>7.9593280880000061E-2</v>
      </c>
      <c r="G79" s="142">
        <f t="shared" si="31"/>
        <v>7.9593280880000061E-2</v>
      </c>
      <c r="H79" s="142">
        <f t="shared" si="31"/>
        <v>7.9593280880000061E-2</v>
      </c>
      <c r="I79" s="142">
        <f t="shared" si="31"/>
        <v>7.9593280880000061E-2</v>
      </c>
      <c r="J79" s="142">
        <f t="shared" si="31"/>
        <v>7.9593280880000061E-2</v>
      </c>
      <c r="K79" s="142">
        <f t="shared" si="31"/>
        <v>7.9593280880000061E-2</v>
      </c>
      <c r="L79" s="142">
        <f t="shared" si="31"/>
        <v>7.9593280880000061E-2</v>
      </c>
      <c r="M79" s="37"/>
      <c r="N79" s="53"/>
      <c r="P79" s="1" t="s">
        <v>298</v>
      </c>
      <c r="Q79" s="320">
        <f>Input!C90</f>
        <v>4.5599999999999998E-3</v>
      </c>
      <c r="R79" s="1" t="s">
        <v>303</v>
      </c>
    </row>
    <row r="80" spans="1:26" x14ac:dyDescent="0.2">
      <c r="A80" s="12"/>
      <c r="B80" s="1" t="s">
        <v>265</v>
      </c>
      <c r="C80" s="119">
        <f>ROUND(1/(1-C79),6)</f>
        <v>1.086476</v>
      </c>
      <c r="D80" s="119">
        <f t="shared" ref="D80:L80" si="32">ROUND(1/(1-D79),6)</f>
        <v>1.086476</v>
      </c>
      <c r="E80" s="119">
        <f t="shared" si="32"/>
        <v>1.086476</v>
      </c>
      <c r="F80" s="119">
        <f t="shared" si="32"/>
        <v>1.086476</v>
      </c>
      <c r="G80" s="119">
        <f t="shared" si="32"/>
        <v>1.086476</v>
      </c>
      <c r="H80" s="119">
        <f t="shared" si="32"/>
        <v>1.086476</v>
      </c>
      <c r="I80" s="119">
        <f t="shared" si="32"/>
        <v>1.086476</v>
      </c>
      <c r="J80" s="119">
        <f t="shared" si="32"/>
        <v>1.086476</v>
      </c>
      <c r="K80" s="119">
        <f t="shared" si="32"/>
        <v>1.086476</v>
      </c>
      <c r="L80" s="119">
        <f t="shared" si="32"/>
        <v>1.086476</v>
      </c>
      <c r="M80" s="38"/>
      <c r="P80" s="1" t="s">
        <v>305</v>
      </c>
      <c r="Q80" s="321">
        <f>+Input!C91</f>
        <v>1.07687434555201E-2</v>
      </c>
      <c r="R80" s="1" t="s">
        <v>304</v>
      </c>
    </row>
    <row r="81" spans="1:17" x14ac:dyDescent="0.2">
      <c r="A81" s="12"/>
      <c r="B81" s="1" t="s">
        <v>266</v>
      </c>
      <c r="C81" s="119">
        <f>1/C80</f>
        <v>0.92040689347946936</v>
      </c>
      <c r="D81" s="119">
        <f t="shared" ref="D81:L81" si="33">1/D80</f>
        <v>0.92040689347946936</v>
      </c>
      <c r="E81" s="119">
        <f t="shared" si="33"/>
        <v>0.92040689347946936</v>
      </c>
      <c r="F81" s="119">
        <f t="shared" si="33"/>
        <v>0.92040689347946936</v>
      </c>
      <c r="G81" s="119">
        <f t="shared" si="33"/>
        <v>0.92040689347946936</v>
      </c>
      <c r="H81" s="119">
        <f t="shared" si="33"/>
        <v>0.92040689347946936</v>
      </c>
      <c r="I81" s="119">
        <f t="shared" si="33"/>
        <v>0.92040689347946936</v>
      </c>
      <c r="J81" s="119">
        <f t="shared" si="33"/>
        <v>0.92040689347946936</v>
      </c>
      <c r="K81" s="119">
        <f t="shared" si="33"/>
        <v>0.92040689347946936</v>
      </c>
      <c r="L81" s="119">
        <f t="shared" si="33"/>
        <v>0.92040689347946936</v>
      </c>
      <c r="M81" s="38"/>
      <c r="P81" s="1" t="s">
        <v>306</v>
      </c>
      <c r="Q81" s="150">
        <f>ROUND(1-((1-Q80)/(1-Q79)),7)</f>
        <v>6.2372E-3</v>
      </c>
    </row>
    <row r="82" spans="1:17" x14ac:dyDescent="0.2">
      <c r="A82" s="12"/>
      <c r="C82" s="38"/>
      <c r="D82" s="38"/>
      <c r="E82" s="38"/>
      <c r="F82" s="38"/>
      <c r="G82" s="38"/>
      <c r="H82" s="38"/>
      <c r="I82" s="38"/>
      <c r="J82" s="38"/>
      <c r="K82" s="38"/>
      <c r="L82" s="38"/>
      <c r="M82" s="38"/>
    </row>
    <row r="83" spans="1:17" x14ac:dyDescent="0.2">
      <c r="A83" s="12"/>
      <c r="B83" s="26" t="s">
        <v>279</v>
      </c>
      <c r="C83" s="38"/>
      <c r="D83" s="38"/>
      <c r="E83" s="38"/>
      <c r="F83" s="38"/>
      <c r="G83" s="38"/>
      <c r="H83" s="38"/>
      <c r="I83" s="38"/>
      <c r="J83" s="38"/>
      <c r="K83" s="38"/>
      <c r="L83" s="38"/>
      <c r="M83" s="38"/>
    </row>
    <row r="84" spans="1:17" x14ac:dyDescent="0.2">
      <c r="A84" s="12"/>
      <c r="B84" s="19" t="s">
        <v>264</v>
      </c>
      <c r="C84" s="278">
        <f>1-((1-$Q$78)/((1-$Q$80)/(1-$Q$79)))</f>
        <v>6.9573759390593182E-2</v>
      </c>
      <c r="D84" s="142">
        <f>+$C84</f>
        <v>6.9573759390593182E-2</v>
      </c>
      <c r="E84" s="142">
        <f t="shared" ref="E84:L84" si="34">+$C84</f>
        <v>6.9573759390593182E-2</v>
      </c>
      <c r="F84" s="142">
        <f t="shared" si="34"/>
        <v>6.9573759390593182E-2</v>
      </c>
      <c r="G84" s="142">
        <f t="shared" si="34"/>
        <v>6.9573759390593182E-2</v>
      </c>
      <c r="H84" s="142">
        <f t="shared" si="34"/>
        <v>6.9573759390593182E-2</v>
      </c>
      <c r="I84" s="142">
        <f t="shared" si="34"/>
        <v>6.9573759390593182E-2</v>
      </c>
      <c r="J84" s="142">
        <f t="shared" si="34"/>
        <v>6.9573759390593182E-2</v>
      </c>
      <c r="K84" s="142">
        <f t="shared" si="34"/>
        <v>6.9573759390593182E-2</v>
      </c>
      <c r="L84" s="142">
        <f t="shared" si="34"/>
        <v>6.9573759390593182E-2</v>
      </c>
      <c r="M84" s="38"/>
    </row>
    <row r="85" spans="1:17" x14ac:dyDescent="0.2">
      <c r="A85" s="12"/>
      <c r="B85" s="1" t="s">
        <v>265</v>
      </c>
      <c r="C85" s="119">
        <f>ROUND(1/(1-C84),6)</f>
        <v>1.074776</v>
      </c>
      <c r="D85" s="119">
        <f>+$C$85</f>
        <v>1.074776</v>
      </c>
      <c r="E85" s="119">
        <f t="shared" ref="E85:L85" si="35">+$C$85</f>
        <v>1.074776</v>
      </c>
      <c r="F85" s="119">
        <f t="shared" si="35"/>
        <v>1.074776</v>
      </c>
      <c r="G85" s="119">
        <f t="shared" si="35"/>
        <v>1.074776</v>
      </c>
      <c r="H85" s="119">
        <f t="shared" si="35"/>
        <v>1.074776</v>
      </c>
      <c r="I85" s="119">
        <f t="shared" si="35"/>
        <v>1.074776</v>
      </c>
      <c r="J85" s="119">
        <f t="shared" si="35"/>
        <v>1.074776</v>
      </c>
      <c r="K85" s="119">
        <f t="shared" si="35"/>
        <v>1.074776</v>
      </c>
      <c r="L85" s="119">
        <f t="shared" si="35"/>
        <v>1.074776</v>
      </c>
      <c r="M85" s="38"/>
    </row>
    <row r="86" spans="1:17" x14ac:dyDescent="0.2">
      <c r="A86" s="12"/>
      <c r="B86" s="1" t="s">
        <v>266</v>
      </c>
      <c r="C86" s="119">
        <f>1/C85</f>
        <v>0.93042643304279227</v>
      </c>
      <c r="D86" s="119">
        <f t="shared" ref="D86:L86" si="36">1/D85</f>
        <v>0.93042643304279227</v>
      </c>
      <c r="E86" s="119">
        <f t="shared" si="36"/>
        <v>0.93042643304279227</v>
      </c>
      <c r="F86" s="119">
        <f t="shared" si="36"/>
        <v>0.93042643304279227</v>
      </c>
      <c r="G86" s="119">
        <f t="shared" si="36"/>
        <v>0.93042643304279227</v>
      </c>
      <c r="H86" s="119">
        <f t="shared" si="36"/>
        <v>0.93042643304279227</v>
      </c>
      <c r="I86" s="119">
        <f t="shared" si="36"/>
        <v>0.93042643304279227</v>
      </c>
      <c r="J86" s="119">
        <f t="shared" si="36"/>
        <v>0.93042643304279227</v>
      </c>
      <c r="K86" s="119">
        <f t="shared" si="36"/>
        <v>0.93042643304279227</v>
      </c>
      <c r="L86" s="119">
        <f t="shared" si="36"/>
        <v>0.93042643304279227</v>
      </c>
      <c r="M86" s="38"/>
    </row>
    <row r="87" spans="1:17" x14ac:dyDescent="0.2">
      <c r="A87" s="12"/>
      <c r="C87" s="133"/>
      <c r="D87" s="38"/>
      <c r="E87" s="38"/>
      <c r="F87" s="38"/>
      <c r="G87" s="38"/>
      <c r="H87" s="38"/>
      <c r="I87" s="38"/>
      <c r="J87" s="38"/>
      <c r="K87" s="38"/>
      <c r="L87" s="38"/>
      <c r="M87" s="38"/>
    </row>
    <row r="88" spans="1:17" x14ac:dyDescent="0.2">
      <c r="A88" s="12"/>
    </row>
    <row r="89" spans="1:17" x14ac:dyDescent="0.2">
      <c r="A89" s="8" t="s">
        <v>68</v>
      </c>
      <c r="B89" s="6" t="s">
        <v>139</v>
      </c>
    </row>
    <row r="90" spans="1:17" x14ac:dyDescent="0.2">
      <c r="B90" s="7" t="s">
        <v>236</v>
      </c>
    </row>
    <row r="91" spans="1:17" x14ac:dyDescent="0.2">
      <c r="A91" s="12"/>
      <c r="B91" s="7" t="s">
        <v>40</v>
      </c>
    </row>
    <row r="92" spans="1:17" x14ac:dyDescent="0.2">
      <c r="A92" s="12"/>
      <c r="B92" s="6"/>
      <c r="C92" s="18" t="str">
        <f>+C7</f>
        <v>RS</v>
      </c>
      <c r="D92" s="18" t="str">
        <f t="shared" ref="D92:L92" si="37">+D7</f>
        <v>RHS</v>
      </c>
      <c r="E92" s="18" t="str">
        <f t="shared" si="37"/>
        <v>RLM</v>
      </c>
      <c r="F92" s="18" t="str">
        <f t="shared" si="37"/>
        <v>WH</v>
      </c>
      <c r="G92" s="18" t="str">
        <f t="shared" si="37"/>
        <v>WHS</v>
      </c>
      <c r="H92" s="18" t="str">
        <f t="shared" si="37"/>
        <v>HS</v>
      </c>
      <c r="I92" s="18" t="str">
        <f t="shared" si="37"/>
        <v>PSAL</v>
      </c>
      <c r="J92" s="18" t="str">
        <f t="shared" si="37"/>
        <v>BPL</v>
      </c>
      <c r="K92" s="18" t="str">
        <f t="shared" si="37"/>
        <v>GLP</v>
      </c>
      <c r="L92" s="18" t="str">
        <f t="shared" si="37"/>
        <v>LPL-S</v>
      </c>
      <c r="M92" s="18"/>
    </row>
    <row r="93" spans="1:17" x14ac:dyDescent="0.2">
      <c r="A93" s="12"/>
    </row>
    <row r="94" spans="1:17" x14ac:dyDescent="0.2">
      <c r="A94" s="12"/>
      <c r="B94" s="19" t="s">
        <v>23</v>
      </c>
      <c r="C94" s="3">
        <f t="shared" ref="C94:L94" si="38">(SUMPRODUCT(C14:C17,C50:C53,$C68:$C71,$H68:$H71)*C80+SUMPRODUCT(O14:O17,C50:C53,$E68:$E71,$I68:$I71)*C80)/SUM(C50:C53)</f>
        <v>29.730389816808405</v>
      </c>
      <c r="D94" s="3">
        <f t="shared" si="38"/>
        <v>29.810973208418787</v>
      </c>
      <c r="E94" s="3">
        <f t="shared" si="38"/>
        <v>30.022817612013871</v>
      </c>
      <c r="F94" s="3">
        <f t="shared" si="38"/>
        <v>28.945081486056935</v>
      </c>
      <c r="G94" s="3">
        <f t="shared" si="38"/>
        <v>28.703726161122706</v>
      </c>
      <c r="H94" s="3">
        <f t="shared" si="38"/>
        <v>31.334829554227763</v>
      </c>
      <c r="I94" s="3">
        <f t="shared" si="38"/>
        <v>25.005550148960676</v>
      </c>
      <c r="J94" s="3">
        <f t="shared" si="38"/>
        <v>24.940219022659289</v>
      </c>
      <c r="K94" s="3">
        <f t="shared" si="38"/>
        <v>30.788168326056965</v>
      </c>
      <c r="L94" s="3">
        <f t="shared" si="38"/>
        <v>30.351198371477114</v>
      </c>
      <c r="M94" s="3"/>
    </row>
    <row r="95" spans="1:17" x14ac:dyDescent="0.2">
      <c r="A95" s="12"/>
      <c r="B95" s="39" t="s">
        <v>80</v>
      </c>
      <c r="C95" s="3">
        <f t="shared" ref="C95:L95" si="39">(SUMPRODUCT(C14:C17,C50:C53,$C68:$C71,$H68:$H71)*C80)/SUMPRODUCT(C14:C17,C50:C53)</f>
        <v>36.764504473181901</v>
      </c>
      <c r="D95" s="3">
        <f t="shared" si="39"/>
        <v>36.644287322570825</v>
      </c>
      <c r="E95" s="3">
        <f t="shared" si="39"/>
        <v>36.726361114887965</v>
      </c>
      <c r="F95" s="3">
        <f t="shared" si="39"/>
        <v>36.436146873122766</v>
      </c>
      <c r="G95" s="3">
        <f t="shared" si="39"/>
        <v>36.172813189540378</v>
      </c>
      <c r="H95" s="3">
        <f t="shared" si="39"/>
        <v>36.627437290139866</v>
      </c>
      <c r="I95" s="3">
        <f t="shared" si="39"/>
        <v>36.33303112441348</v>
      </c>
      <c r="J95" s="3">
        <f t="shared" si="39"/>
        <v>36.241382399103024</v>
      </c>
      <c r="K95" s="3">
        <f t="shared" si="39"/>
        <v>36.590866872377326</v>
      </c>
      <c r="L95" s="3">
        <f t="shared" si="39"/>
        <v>36.591755577928794</v>
      </c>
      <c r="M95" s="3"/>
    </row>
    <row r="96" spans="1:17" x14ac:dyDescent="0.2">
      <c r="A96" s="12"/>
      <c r="B96" s="39" t="s">
        <v>81</v>
      </c>
      <c r="C96" s="3">
        <f t="shared" ref="C96:L96" si="40">(SUMPRODUCT(O14:O17,C50:C53,$E68:$E71,$I68:$I71)*C80)/SUMPRODUCT(O14:O17,C50:C53)</f>
        <v>22.103825197240496</v>
      </c>
      <c r="D96" s="3">
        <f t="shared" si="40"/>
        <v>22.045896067583531</v>
      </c>
      <c r="E96" s="3">
        <f t="shared" si="40"/>
        <v>22.082444579586493</v>
      </c>
      <c r="F96" s="3">
        <f t="shared" si="40"/>
        <v>21.922129801121404</v>
      </c>
      <c r="G96" s="3">
        <f t="shared" si="40"/>
        <v>21.757065817468902</v>
      </c>
      <c r="H96" s="3">
        <f t="shared" si="40"/>
        <v>22.02424442809231</v>
      </c>
      <c r="I96" s="3">
        <f t="shared" si="40"/>
        <v>21.932830253401075</v>
      </c>
      <c r="J96" s="3">
        <f t="shared" si="40"/>
        <v>21.869887510939687</v>
      </c>
      <c r="K96" s="3">
        <f t="shared" si="40"/>
        <v>22.02959591584921</v>
      </c>
      <c r="L96" s="3">
        <f t="shared" si="40"/>
        <v>22.042404507163138</v>
      </c>
      <c r="M96" s="3"/>
    </row>
    <row r="97" spans="1:13" x14ac:dyDescent="0.2">
      <c r="A97" s="12"/>
      <c r="C97" s="40"/>
      <c r="D97" s="40"/>
      <c r="E97" s="40"/>
      <c r="F97" s="40"/>
      <c r="G97" s="40"/>
      <c r="H97" s="40"/>
      <c r="I97" s="40"/>
      <c r="J97" s="40"/>
      <c r="K97" s="40"/>
      <c r="L97" s="40"/>
      <c r="M97" s="40"/>
    </row>
    <row r="98" spans="1:13" x14ac:dyDescent="0.2">
      <c r="A98" s="12"/>
      <c r="B98" s="19" t="s">
        <v>24</v>
      </c>
      <c r="C98" s="3">
        <f t="shared" ref="C98:L98" si="41">(SUMPRODUCT(C9:C13,C45:C49,$C63:$C67,$H63:$H67)*C80+SUMPRODUCT(O9:O13,C45:C49,$E63:$E67,$I63:$I67)*C80+SUMPRODUCT(C18:C20,C54:C56,$C72:$C74,$H72:$H74)*C80+SUMPRODUCT(O18:O20,C54:C56,$E72:$E74,$I72:$I74)*C80)/SUM(C45:C49,C54:C56)</f>
        <v>34.772982188570779</v>
      </c>
      <c r="D98" s="3">
        <f t="shared" si="41"/>
        <v>36.13028188417853</v>
      </c>
      <c r="E98" s="3">
        <f t="shared" si="41"/>
        <v>34.973072808493626</v>
      </c>
      <c r="F98" s="3">
        <f t="shared" si="41"/>
        <v>34.350483739407707</v>
      </c>
      <c r="G98" s="3">
        <f t="shared" si="41"/>
        <v>34.560636878419977</v>
      </c>
      <c r="H98" s="3">
        <f t="shared" si="41"/>
        <v>36.423696752546704</v>
      </c>
      <c r="I98" s="3">
        <f t="shared" si="41"/>
        <v>32.443913921731593</v>
      </c>
      <c r="J98" s="3">
        <f t="shared" si="41"/>
        <v>32.454619211323426</v>
      </c>
      <c r="K98" s="3">
        <f t="shared" si="41"/>
        <v>35.345642170538156</v>
      </c>
      <c r="L98" s="3">
        <f t="shared" si="41"/>
        <v>35.055887687152577</v>
      </c>
      <c r="M98" s="3"/>
    </row>
    <row r="99" spans="1:13" x14ac:dyDescent="0.2">
      <c r="A99" s="12"/>
      <c r="B99" s="39" t="s">
        <v>80</v>
      </c>
      <c r="C99" s="3">
        <f t="shared" ref="C99:L99" si="42">(SUMPRODUCT(C9:C13,C45:C49,$C63:$C67,$H63:$H67)*C80+SUMPRODUCT(C18:C20,C54:C56,$C72:$C74,$H72:$H74)*C80)/(SUMPRODUCT(C9:C13,C45:C49)+SUMPRODUCT(C18:C20,C54:C56))</f>
        <v>40.218548944679185</v>
      </c>
      <c r="D99" s="3">
        <f t="shared" si="42"/>
        <v>41.703493659928633</v>
      </c>
      <c r="E99" s="3">
        <f t="shared" si="42"/>
        <v>40.2427372577881</v>
      </c>
      <c r="F99" s="3">
        <f t="shared" si="42"/>
        <v>40.094736518668412</v>
      </c>
      <c r="G99" s="3">
        <f t="shared" si="42"/>
        <v>40.282269177407883</v>
      </c>
      <c r="H99" s="3">
        <f t="shared" si="42"/>
        <v>41.852604056456556</v>
      </c>
      <c r="I99" s="3">
        <f t="shared" si="42"/>
        <v>40.468857725901472</v>
      </c>
      <c r="J99" s="3">
        <f t="shared" si="42"/>
        <v>40.533192836521508</v>
      </c>
      <c r="K99" s="3">
        <f t="shared" si="42"/>
        <v>39.748136188671339</v>
      </c>
      <c r="L99" s="3">
        <f t="shared" si="42"/>
        <v>39.643422173014436</v>
      </c>
      <c r="M99" s="3"/>
    </row>
    <row r="100" spans="1:13" x14ac:dyDescent="0.2">
      <c r="A100" s="12"/>
      <c r="B100" s="39" t="s">
        <v>81</v>
      </c>
      <c r="C100" s="3">
        <f t="shared" ref="C100:L100" si="43">(SUMPRODUCT(O9:O13,C45:C49,$E63:$E67,$I63:$I67)*C80+SUMPRODUCT(O18:O20,C54:C56,$E72:$E74,$I72:$I74)*C80)/(SUMPRODUCT(O9:O13,C45:C49)+SUMPRODUCT(O18:O20,C54:C56))</f>
        <v>29.603153789762949</v>
      </c>
      <c r="D100" s="3">
        <f t="shared" si="43"/>
        <v>30.869063449113707</v>
      </c>
      <c r="E100" s="3">
        <f t="shared" si="43"/>
        <v>29.701468983966382</v>
      </c>
      <c r="F100" s="3">
        <f t="shared" si="43"/>
        <v>29.60771034724986</v>
      </c>
      <c r="G100" s="3">
        <f t="shared" si="43"/>
        <v>29.787987481373477</v>
      </c>
      <c r="H100" s="3">
        <f t="shared" si="43"/>
        <v>31.137349903493742</v>
      </c>
      <c r="I100" s="3">
        <f t="shared" si="43"/>
        <v>29.38972952586969</v>
      </c>
      <c r="J100" s="3">
        <f t="shared" si="43"/>
        <v>29.397978601061229</v>
      </c>
      <c r="K100" s="3">
        <f t="shared" si="43"/>
        <v>29.401518273809302</v>
      </c>
      <c r="L100" s="3">
        <f t="shared" si="43"/>
        <v>29.305134722497197</v>
      </c>
      <c r="M100" s="3"/>
    </row>
    <row r="101" spans="1:13" x14ac:dyDescent="0.2">
      <c r="A101" s="12"/>
      <c r="C101" s="40"/>
      <c r="D101" s="40"/>
      <c r="E101" s="40"/>
      <c r="F101" s="40"/>
      <c r="G101" s="40"/>
      <c r="H101" s="40"/>
      <c r="I101" s="40"/>
      <c r="J101" s="40"/>
      <c r="K101" s="40"/>
      <c r="L101" s="40"/>
      <c r="M101" s="40"/>
    </row>
    <row r="102" spans="1:13" x14ac:dyDescent="0.2">
      <c r="A102" s="12"/>
      <c r="B102" s="1" t="s">
        <v>22</v>
      </c>
      <c r="C102" s="3">
        <f t="shared" ref="C102:L102" si="44">(C94*SUM(C50:C53)+C98*SUM(C45:C49,C54:C56))/C57</f>
        <v>32.558872988588838</v>
      </c>
      <c r="D102" s="41">
        <f t="shared" si="44"/>
        <v>34.632087283106557</v>
      </c>
      <c r="E102" s="41">
        <f t="shared" si="44"/>
        <v>32.751672564601513</v>
      </c>
      <c r="F102" s="41">
        <f t="shared" si="44"/>
        <v>32.835951221251875</v>
      </c>
      <c r="G102" s="41">
        <f t="shared" si="44"/>
        <v>33.019344584394375</v>
      </c>
      <c r="H102" s="41">
        <f t="shared" si="44"/>
        <v>35.305516755137695</v>
      </c>
      <c r="I102" s="41">
        <f t="shared" si="44"/>
        <v>30.387634557079569</v>
      </c>
      <c r="J102" s="41">
        <f t="shared" si="44"/>
        <v>30.450797834927531</v>
      </c>
      <c r="K102" s="41">
        <f t="shared" si="44"/>
        <v>33.64373215219765</v>
      </c>
      <c r="L102" s="41">
        <f t="shared" si="44"/>
        <v>33.368582628505536</v>
      </c>
      <c r="M102" s="41"/>
    </row>
    <row r="103" spans="1:13" x14ac:dyDescent="0.2">
      <c r="A103" s="12"/>
      <c r="C103" s="3"/>
      <c r="D103" s="41"/>
      <c r="E103" s="41"/>
      <c r="F103" s="41"/>
      <c r="G103" s="41"/>
      <c r="H103" s="41"/>
      <c r="I103" s="41"/>
      <c r="J103" s="41"/>
      <c r="K103" s="41"/>
      <c r="L103" s="41"/>
      <c r="M103" s="41"/>
    </row>
    <row r="104" spans="1:13" x14ac:dyDescent="0.2">
      <c r="A104" s="12"/>
      <c r="B104" s="1" t="s">
        <v>83</v>
      </c>
      <c r="C104" s="42">
        <f>SUMPRODUCT(C102:L102,C57:L57)/SUM(C57:L57)</f>
        <v>32.979108726204529</v>
      </c>
      <c r="D104" s="41"/>
      <c r="E104" s="41"/>
      <c r="F104" s="41"/>
      <c r="G104" s="41"/>
      <c r="H104" s="41"/>
      <c r="I104" s="41"/>
      <c r="J104" s="41"/>
      <c r="K104" s="41"/>
      <c r="L104" s="41"/>
      <c r="M104" s="41"/>
    </row>
    <row r="105" spans="1:13" x14ac:dyDescent="0.2">
      <c r="A105" s="12"/>
      <c r="C105" s="3"/>
      <c r="D105" s="41"/>
      <c r="E105" s="41"/>
      <c r="F105" s="41"/>
      <c r="G105" s="41"/>
      <c r="H105" s="41"/>
      <c r="I105" s="41"/>
      <c r="J105" s="41"/>
      <c r="K105" s="41"/>
      <c r="L105" s="41"/>
      <c r="M105" s="41"/>
    </row>
    <row r="106" spans="1:13" x14ac:dyDescent="0.2">
      <c r="A106" s="12"/>
      <c r="C106" s="41"/>
      <c r="D106" s="41"/>
      <c r="E106" s="41"/>
      <c r="F106" s="41"/>
      <c r="G106" s="41"/>
      <c r="H106" s="41"/>
      <c r="I106" s="41"/>
      <c r="J106" s="41"/>
      <c r="K106" s="41"/>
      <c r="L106" s="41"/>
      <c r="M106" s="41"/>
    </row>
    <row r="107" spans="1:13" x14ac:dyDescent="0.2">
      <c r="A107" s="8" t="s">
        <v>69</v>
      </c>
      <c r="B107" s="6" t="s">
        <v>133</v>
      </c>
      <c r="C107" s="41"/>
      <c r="D107" s="41"/>
      <c r="E107" s="41"/>
      <c r="F107" s="41"/>
      <c r="G107" s="41"/>
      <c r="H107" s="41"/>
      <c r="I107" s="41"/>
      <c r="J107" s="41"/>
      <c r="K107" s="41"/>
      <c r="L107" s="41"/>
      <c r="M107" s="41"/>
    </row>
    <row r="108" spans="1:13" x14ac:dyDescent="0.2">
      <c r="A108" s="12"/>
      <c r="B108" s="7" t="s">
        <v>237</v>
      </c>
      <c r="C108" s="41"/>
      <c r="D108" s="41"/>
      <c r="E108" s="41"/>
      <c r="F108" s="41"/>
      <c r="G108" s="41"/>
      <c r="H108" s="41"/>
      <c r="I108" s="41"/>
      <c r="J108" s="41"/>
      <c r="K108" s="41"/>
      <c r="L108" s="41"/>
      <c r="M108" s="41"/>
    </row>
    <row r="109" spans="1:13" x14ac:dyDescent="0.2">
      <c r="A109" s="12"/>
      <c r="B109" s="7" t="s">
        <v>82</v>
      </c>
      <c r="C109" s="41"/>
      <c r="D109" s="41"/>
      <c r="E109" s="41"/>
      <c r="F109" s="41"/>
      <c r="G109" s="41"/>
      <c r="H109" s="41"/>
      <c r="I109" s="41"/>
      <c r="J109" s="41"/>
      <c r="K109" s="41"/>
      <c r="L109" s="41"/>
      <c r="M109" s="41"/>
    </row>
    <row r="110" spans="1:13" x14ac:dyDescent="0.2">
      <c r="A110" s="12"/>
      <c r="B110" s="6"/>
      <c r="C110" s="18" t="str">
        <f>+C7</f>
        <v>RS</v>
      </c>
      <c r="D110" s="18" t="str">
        <f t="shared" ref="D110:L110" si="45">+D7</f>
        <v>RHS</v>
      </c>
      <c r="E110" s="18" t="str">
        <f t="shared" si="45"/>
        <v>RLM</v>
      </c>
      <c r="F110" s="18" t="str">
        <f t="shared" si="45"/>
        <v>WH</v>
      </c>
      <c r="G110" s="18" t="str">
        <f t="shared" si="45"/>
        <v>WHS</v>
      </c>
      <c r="H110" s="18" t="str">
        <f t="shared" si="45"/>
        <v>HS</v>
      </c>
      <c r="I110" s="18" t="str">
        <f t="shared" si="45"/>
        <v>PSAL</v>
      </c>
      <c r="J110" s="18" t="str">
        <f t="shared" si="45"/>
        <v>BPL</v>
      </c>
      <c r="K110" s="18" t="str">
        <f t="shared" si="45"/>
        <v>GLP</v>
      </c>
      <c r="L110" s="18" t="str">
        <f t="shared" si="45"/>
        <v>LPL-S</v>
      </c>
      <c r="M110" s="18"/>
    </row>
    <row r="111" spans="1:13" x14ac:dyDescent="0.2">
      <c r="A111" s="12"/>
      <c r="C111" s="2"/>
    </row>
    <row r="112" spans="1:13" x14ac:dyDescent="0.2">
      <c r="A112" s="12"/>
      <c r="B112" s="19" t="s">
        <v>23</v>
      </c>
      <c r="C112" s="43">
        <f t="shared" ref="C112:L112" si="46">SUM(C50:C53)*C94/1000</f>
        <v>158933.83598236117</v>
      </c>
      <c r="D112" s="43">
        <f t="shared" si="46"/>
        <v>806.8977156452396</v>
      </c>
      <c r="E112" s="43">
        <f t="shared" si="46"/>
        <v>2816.5983121799068</v>
      </c>
      <c r="F112" s="43">
        <f t="shared" si="46"/>
        <v>8.5966892013589096</v>
      </c>
      <c r="G112" s="43">
        <f t="shared" si="46"/>
        <v>0.14351863080561353</v>
      </c>
      <c r="H112" s="43">
        <f t="shared" si="46"/>
        <v>85.163334350604131</v>
      </c>
      <c r="I112" s="43">
        <f t="shared" si="46"/>
        <v>1077.3141170676727</v>
      </c>
      <c r="J112" s="43">
        <f t="shared" si="46"/>
        <v>1962.5707751120819</v>
      </c>
      <c r="K112" s="43">
        <f t="shared" si="46"/>
        <v>73851.403874600932</v>
      </c>
      <c r="L112" s="43">
        <f t="shared" si="46"/>
        <v>51074.501821250698</v>
      </c>
      <c r="M112" s="43"/>
    </row>
    <row r="113" spans="1:30" x14ac:dyDescent="0.2">
      <c r="A113" s="12"/>
      <c r="B113" s="39" t="s">
        <v>80</v>
      </c>
      <c r="C113" s="43">
        <f t="shared" ref="C113:L113" si="47">SUMPRODUCT(C50:C53,C14:C17)*C95/1000</f>
        <v>102239.64669369861</v>
      </c>
      <c r="D113" s="43">
        <f t="shared" si="47"/>
        <v>527.58129172514271</v>
      </c>
      <c r="E113" s="43">
        <f t="shared" si="47"/>
        <v>1868.2501582783682</v>
      </c>
      <c r="F113" s="43">
        <f t="shared" si="47"/>
        <v>5.236256885209909</v>
      </c>
      <c r="G113" s="43">
        <f t="shared" si="47"/>
        <v>8.7154776098878575E-2</v>
      </c>
      <c r="H113" s="43">
        <f t="shared" si="47"/>
        <v>63.468905312583956</v>
      </c>
      <c r="I113" s="43">
        <f t="shared" si="47"/>
        <v>334.01193857357487</v>
      </c>
      <c r="J113" s="43">
        <f t="shared" si="47"/>
        <v>609.27470018550912</v>
      </c>
      <c r="K113" s="43">
        <f t="shared" si="47"/>
        <v>52793.644429728309</v>
      </c>
      <c r="L113" s="43">
        <f t="shared" si="47"/>
        <v>35164.617963241515</v>
      </c>
      <c r="M113" s="43"/>
    </row>
    <row r="114" spans="1:30" x14ac:dyDescent="0.2">
      <c r="A114" s="12"/>
      <c r="B114" s="39" t="s">
        <v>81</v>
      </c>
      <c r="C114" s="43">
        <f t="shared" ref="C114:L114" si="48">SUMPRODUCT(C50:C53,O14:O17)*C96/1000</f>
        <v>56694.18928866255</v>
      </c>
      <c r="D114" s="43">
        <f t="shared" si="48"/>
        <v>279.31642392009684</v>
      </c>
      <c r="E114" s="43">
        <f t="shared" si="48"/>
        <v>948.34815390153869</v>
      </c>
      <c r="F114" s="43">
        <f t="shared" si="48"/>
        <v>3.3604323161489997</v>
      </c>
      <c r="G114" s="43">
        <f t="shared" si="48"/>
        <v>5.6363854706734939E-2</v>
      </c>
      <c r="H114" s="43">
        <f t="shared" si="48"/>
        <v>21.694429038020161</v>
      </c>
      <c r="I114" s="43">
        <f t="shared" si="48"/>
        <v>743.3021784940978</v>
      </c>
      <c r="J114" s="43">
        <f t="shared" si="48"/>
        <v>1353.2960749265728</v>
      </c>
      <c r="K114" s="43">
        <f t="shared" si="48"/>
        <v>21057.759444872638</v>
      </c>
      <c r="L114" s="43">
        <f t="shared" si="48"/>
        <v>15909.883858009183</v>
      </c>
      <c r="M114" s="43"/>
    </row>
    <row r="115" spans="1:30" x14ac:dyDescent="0.2">
      <c r="A115" s="12"/>
      <c r="C115" s="44"/>
      <c r="D115" s="44"/>
      <c r="E115" s="44"/>
      <c r="F115" s="44"/>
      <c r="G115" s="44"/>
      <c r="H115" s="44"/>
      <c r="I115" s="44"/>
      <c r="J115" s="44"/>
      <c r="K115" s="44"/>
      <c r="L115" s="44"/>
      <c r="M115" s="44"/>
    </row>
    <row r="116" spans="1:30" x14ac:dyDescent="0.2">
      <c r="A116" s="12"/>
      <c r="B116" s="19" t="s">
        <v>24</v>
      </c>
      <c r="C116" s="44">
        <f t="shared" ref="C116:L116" si="49">SUM(C45:C49,C54:C56)*C98/1000</f>
        <v>237471.91953692847</v>
      </c>
      <c r="D116" s="44">
        <f t="shared" si="49"/>
        <v>3146.9718750593252</v>
      </c>
      <c r="E116" s="44">
        <f t="shared" si="49"/>
        <v>4030.5182848566751</v>
      </c>
      <c r="F116" s="44">
        <f t="shared" si="49"/>
        <v>26.209419093168083</v>
      </c>
      <c r="G116" s="44">
        <f t="shared" si="49"/>
        <v>0.48384891629787968</v>
      </c>
      <c r="H116" s="44">
        <f t="shared" si="49"/>
        <v>351.53073201168684</v>
      </c>
      <c r="I116" s="44">
        <f t="shared" si="49"/>
        <v>3658.5379533840633</v>
      </c>
      <c r="J116" s="44">
        <f t="shared" si="49"/>
        <v>7023.2769611880231</v>
      </c>
      <c r="K116" s="44">
        <f t="shared" si="49"/>
        <v>142254.51410379627</v>
      </c>
      <c r="L116" s="44">
        <f t="shared" si="49"/>
        <v>105493.63968640636</v>
      </c>
      <c r="M116" s="44"/>
    </row>
    <row r="117" spans="1:30" x14ac:dyDescent="0.2">
      <c r="A117" s="12"/>
      <c r="B117" s="39" t="s">
        <v>80</v>
      </c>
      <c r="C117" s="43">
        <f t="shared" ref="C117:L117" si="50">(SUMPRODUCT(C45:C49,C9:C13)+SUMPRODUCT(C54:C56,C18:C20))*C99/1000</f>
        <v>133763.21077401994</v>
      </c>
      <c r="D117" s="43">
        <f t="shared" si="50"/>
        <v>1763.9010039793097</v>
      </c>
      <c r="E117" s="43">
        <f t="shared" si="50"/>
        <v>2319.3405182669926</v>
      </c>
      <c r="F117" s="43">
        <f t="shared" si="50"/>
        <v>13.83540653155022</v>
      </c>
      <c r="G117" s="43">
        <f t="shared" si="50"/>
        <v>0.25647720785255596</v>
      </c>
      <c r="H117" s="43">
        <f t="shared" si="50"/>
        <v>199.27597381613484</v>
      </c>
      <c r="I117" s="43">
        <f t="shared" si="50"/>
        <v>1258.012442667052</v>
      </c>
      <c r="J117" s="43">
        <f t="shared" si="50"/>
        <v>2407.7971371477606</v>
      </c>
      <c r="K117" s="43">
        <f t="shared" si="50"/>
        <v>91904.41835518954</v>
      </c>
      <c r="L117" s="43">
        <f t="shared" si="50"/>
        <v>66360.943741446463</v>
      </c>
      <c r="M117" s="43"/>
    </row>
    <row r="118" spans="1:30" x14ac:dyDescent="0.2">
      <c r="A118" s="12"/>
      <c r="B118" s="39" t="s">
        <v>81</v>
      </c>
      <c r="C118" s="43">
        <f t="shared" ref="C118:L118" si="51">+(SUMPRODUCT(C45:C49,O9:O13)+SUMPRODUCT(C54:C56,O18:O20))*C100/1000</f>
        <v>103708.7087629085</v>
      </c>
      <c r="D118" s="43">
        <f t="shared" si="51"/>
        <v>1383.0708710800156</v>
      </c>
      <c r="E118" s="43">
        <f t="shared" si="51"/>
        <v>1711.1777665896825</v>
      </c>
      <c r="F118" s="43">
        <f t="shared" si="51"/>
        <v>12.374012561617866</v>
      </c>
      <c r="G118" s="43">
        <f t="shared" si="51"/>
        <v>0.22737170844532376</v>
      </c>
      <c r="H118" s="43">
        <f t="shared" si="51"/>
        <v>152.25475819555191</v>
      </c>
      <c r="I118" s="43">
        <f t="shared" si="51"/>
        <v>2400.525510717011</v>
      </c>
      <c r="J118" s="43">
        <f t="shared" si="51"/>
        <v>4615.4798240402633</v>
      </c>
      <c r="K118" s="43">
        <f t="shared" si="51"/>
        <v>50350.095748606727</v>
      </c>
      <c r="L118" s="43">
        <f t="shared" si="51"/>
        <v>39132.695944959902</v>
      </c>
      <c r="M118" s="43"/>
    </row>
    <row r="119" spans="1:30" x14ac:dyDescent="0.2">
      <c r="A119" s="12"/>
      <c r="C119" s="40"/>
      <c r="D119" s="40"/>
      <c r="E119" s="40"/>
      <c r="F119" s="40"/>
      <c r="G119" s="40"/>
      <c r="H119" s="40"/>
      <c r="I119" s="40"/>
      <c r="J119" s="40"/>
      <c r="K119" s="40"/>
      <c r="L119" s="40"/>
      <c r="M119" s="40"/>
    </row>
    <row r="120" spans="1:30" x14ac:dyDescent="0.2">
      <c r="A120" s="12"/>
      <c r="B120" s="1" t="s">
        <v>22</v>
      </c>
      <c r="C120" s="44">
        <f>+C112+C116</f>
        <v>396405.75551928964</v>
      </c>
      <c r="D120" s="44">
        <f t="shared" ref="D120:L120" si="52">+D112+D116</f>
        <v>3953.8695907045649</v>
      </c>
      <c r="E120" s="44">
        <f t="shared" si="52"/>
        <v>6847.1165970365819</v>
      </c>
      <c r="F120" s="44">
        <f t="shared" si="52"/>
        <v>34.806108294526993</v>
      </c>
      <c r="G120" s="44">
        <f t="shared" si="52"/>
        <v>0.62736754710349318</v>
      </c>
      <c r="H120" s="44">
        <f t="shared" si="52"/>
        <v>436.69406636229098</v>
      </c>
      <c r="I120" s="44">
        <f t="shared" si="52"/>
        <v>4735.8520704517359</v>
      </c>
      <c r="J120" s="44">
        <f t="shared" si="52"/>
        <v>8985.8477363001057</v>
      </c>
      <c r="K120" s="44">
        <f t="shared" si="52"/>
        <v>216105.91797839722</v>
      </c>
      <c r="L120" s="44">
        <f t="shared" si="52"/>
        <v>156568.14150765707</v>
      </c>
      <c r="M120" s="44"/>
    </row>
    <row r="121" spans="1:30" x14ac:dyDescent="0.2">
      <c r="A121" s="12"/>
    </row>
    <row r="122" spans="1:30" x14ac:dyDescent="0.2">
      <c r="A122" s="12"/>
      <c r="B122" s="1" t="s">
        <v>83</v>
      </c>
      <c r="C122" s="43">
        <f>SUM(C120:L120)</f>
        <v>794074.62854204071</v>
      </c>
      <c r="E122" s="45"/>
      <c r="F122" s="3"/>
    </row>
    <row r="123" spans="1:30" x14ac:dyDescent="0.2">
      <c r="A123" s="12"/>
    </row>
    <row r="124" spans="1:30" x14ac:dyDescent="0.2">
      <c r="A124" s="12"/>
    </row>
    <row r="125" spans="1:30" x14ac:dyDescent="0.2">
      <c r="A125" s="8" t="s">
        <v>70</v>
      </c>
      <c r="B125" s="6" t="s">
        <v>134</v>
      </c>
      <c r="C125" s="41"/>
      <c r="Q125" s="1" t="s">
        <v>145</v>
      </c>
      <c r="T125" s="1" t="s">
        <v>144</v>
      </c>
      <c r="W125" s="1" t="s">
        <v>146</v>
      </c>
      <c r="Z125" s="1" t="s">
        <v>148</v>
      </c>
    </row>
    <row r="126" spans="1:30" x14ac:dyDescent="0.2">
      <c r="A126" s="12"/>
      <c r="B126" s="7" t="s">
        <v>238</v>
      </c>
      <c r="C126" s="41"/>
      <c r="W126" s="1" t="s">
        <v>147</v>
      </c>
      <c r="Z126" s="1" t="s">
        <v>149</v>
      </c>
      <c r="AC126" s="1" t="s">
        <v>150</v>
      </c>
    </row>
    <row r="127" spans="1:30" x14ac:dyDescent="0.2">
      <c r="A127" s="12"/>
      <c r="B127" s="7" t="s">
        <v>40</v>
      </c>
      <c r="C127" s="41"/>
    </row>
    <row r="128" spans="1:30" x14ac:dyDescent="0.2">
      <c r="A128" s="12"/>
      <c r="B128" s="6"/>
      <c r="C128" s="18" t="str">
        <f>+C7</f>
        <v>RS</v>
      </c>
      <c r="D128" s="18" t="str">
        <f t="shared" ref="D128:L128" si="53">+D7</f>
        <v>RHS</v>
      </c>
      <c r="E128" s="18" t="str">
        <f t="shared" si="53"/>
        <v>RLM</v>
      </c>
      <c r="F128" s="18" t="str">
        <f t="shared" si="53"/>
        <v>WH</v>
      </c>
      <c r="G128" s="18" t="str">
        <f t="shared" si="53"/>
        <v>WHS</v>
      </c>
      <c r="H128" s="18" t="str">
        <f t="shared" si="53"/>
        <v>HS</v>
      </c>
      <c r="I128" s="18" t="str">
        <f t="shared" si="53"/>
        <v>PSAL</v>
      </c>
      <c r="J128" s="18" t="str">
        <f t="shared" si="53"/>
        <v>BPL</v>
      </c>
      <c r="K128" s="18" t="str">
        <f t="shared" si="53"/>
        <v>GLP</v>
      </c>
      <c r="L128" s="18" t="str">
        <f t="shared" si="53"/>
        <v>LPL-S</v>
      </c>
      <c r="M128" s="18"/>
      <c r="O128" s="18"/>
      <c r="P128" s="18"/>
      <c r="Q128" s="18" t="str">
        <f>+E128</f>
        <v>RLM</v>
      </c>
      <c r="R128" s="18" t="str">
        <f>+L128</f>
        <v>LPL-S</v>
      </c>
      <c r="S128" s="18"/>
      <c r="T128" s="18" t="str">
        <f>+E128</f>
        <v>RLM</v>
      </c>
      <c r="U128" s="18" t="str">
        <f>+L128</f>
        <v>LPL-S</v>
      </c>
      <c r="V128" s="18"/>
      <c r="W128" s="18" t="str">
        <f>+E128</f>
        <v>RLM</v>
      </c>
      <c r="X128" s="18" t="str">
        <f>+L128</f>
        <v>LPL-S</v>
      </c>
      <c r="Z128" s="18" t="str">
        <f>+E128</f>
        <v>RLM</v>
      </c>
      <c r="AA128" s="18" t="str">
        <f>+L128</f>
        <v>LPL-S</v>
      </c>
      <c r="AC128" s="46" t="str">
        <f>+E128</f>
        <v>RLM</v>
      </c>
      <c r="AD128" s="18" t="str">
        <f>+L128</f>
        <v>LPL-S</v>
      </c>
    </row>
    <row r="129" spans="1:39" x14ac:dyDescent="0.2">
      <c r="A129" s="12"/>
      <c r="C129" s="2"/>
    </row>
    <row r="130" spans="1:39" x14ac:dyDescent="0.2">
      <c r="A130" s="12"/>
      <c r="B130" s="19" t="s">
        <v>23</v>
      </c>
      <c r="C130" s="42">
        <f t="shared" ref="C130:L130" si="54">+C112/SUM(C50:C53)*1000</f>
        <v>29.730389816808405</v>
      </c>
      <c r="D130" s="42">
        <f t="shared" si="54"/>
        <v>29.810973208418787</v>
      </c>
      <c r="E130" s="42">
        <f t="shared" si="54"/>
        <v>30.022817612013871</v>
      </c>
      <c r="F130" s="42">
        <f t="shared" si="54"/>
        <v>28.945081486056935</v>
      </c>
      <c r="G130" s="42">
        <f t="shared" si="54"/>
        <v>28.703726161122706</v>
      </c>
      <c r="H130" s="42">
        <f t="shared" si="54"/>
        <v>31.334829554227763</v>
      </c>
      <c r="I130" s="42">
        <f t="shared" si="54"/>
        <v>25.005550148960673</v>
      </c>
      <c r="J130" s="42">
        <f t="shared" si="54"/>
        <v>24.940219022659289</v>
      </c>
      <c r="K130" s="42">
        <f t="shared" si="54"/>
        <v>30.788168326056965</v>
      </c>
      <c r="L130" s="42">
        <f t="shared" si="54"/>
        <v>30.351198371477114</v>
      </c>
      <c r="M130" s="42"/>
    </row>
    <row r="131" spans="1:39" x14ac:dyDescent="0.2">
      <c r="A131" s="12"/>
      <c r="B131" s="39" t="s">
        <v>84</v>
      </c>
      <c r="C131" s="43"/>
      <c r="E131" s="42">
        <f>+(E113*1000-W131*AVERAGE(E$95,E$96))/Q131</f>
        <v>37.66002970690613</v>
      </c>
      <c r="F131" s="42"/>
      <c r="G131" s="43"/>
      <c r="H131" s="43"/>
      <c r="I131" s="43"/>
      <c r="J131" s="43"/>
      <c r="K131" s="43"/>
      <c r="L131" s="42">
        <f>+(L113*1000-X131*AVERAGE(L$95,L$96))/R131</f>
        <v>37.467184602548699</v>
      </c>
      <c r="M131" s="42"/>
      <c r="N131" s="42"/>
      <c r="Q131" s="30">
        <f>SUMPRODUCT(E50:E53,E32:E35)</f>
        <v>45116.387848988881</v>
      </c>
      <c r="R131" s="30">
        <f>SUMPRODUCT(L50:L53,L32:L35)</f>
        <v>857774.44684322341</v>
      </c>
      <c r="T131" s="30">
        <f>SUMPRODUCT(E50:E53,E14:E17)</f>
        <v>50869.460016310339</v>
      </c>
      <c r="U131" s="30">
        <f>SUMPRODUCT(L50:L53,L14:L17)</f>
        <v>960998.38359359582</v>
      </c>
      <c r="W131" s="30">
        <f>+T131-Q131</f>
        <v>5753.0721673214575</v>
      </c>
      <c r="X131" s="30">
        <f>+U131-R131</f>
        <v>103223.93675037241</v>
      </c>
      <c r="Z131" s="47">
        <f>+E131*Q131/1000</f>
        <v>1699.0845066612201</v>
      </c>
      <c r="AA131" s="47">
        <f>+L131*R131/1000</f>
        <v>32138.39354722415</v>
      </c>
    </row>
    <row r="132" spans="1:39" ht="15" x14ac:dyDescent="0.35">
      <c r="A132" s="12"/>
      <c r="B132" s="39" t="s">
        <v>85</v>
      </c>
      <c r="C132" s="42"/>
      <c r="D132" s="42"/>
      <c r="E132" s="42">
        <f>+(E114*1000-W132*AVERAGE(E$95,E$96))/Q132</f>
        <v>22.947428842009806</v>
      </c>
      <c r="F132" s="43"/>
      <c r="G132" s="43"/>
      <c r="H132" s="43"/>
      <c r="I132" s="43"/>
      <c r="J132" s="43"/>
      <c r="K132" s="43"/>
      <c r="L132" s="42">
        <f>+(L114*1000-X132*AVERAGE(L$95,L$96))/R132</f>
        <v>22.952601146390943</v>
      </c>
      <c r="M132" s="42"/>
      <c r="N132" s="42"/>
      <c r="Q132" s="30">
        <f>SUMPRODUCT(E50:E53,Q32:Q35)</f>
        <v>48698.867886795968</v>
      </c>
      <c r="R132" s="30">
        <f>SUMPRODUCT(L50:L53,X32:X35)</f>
        <v>825009.25072729972</v>
      </c>
      <c r="T132" s="30">
        <f>SUMPRODUCT(E50:E53,Q14:Q17)</f>
        <v>42945.79571947451</v>
      </c>
      <c r="U132" s="30">
        <f>SUMPRODUCT(L50:L53,X14:X17)</f>
        <v>721785.31397692731</v>
      </c>
      <c r="W132" s="30">
        <f>+T132-Q132</f>
        <v>-5753.0721673214575</v>
      </c>
      <c r="X132" s="30">
        <f>+U132-R132</f>
        <v>-103223.93675037241</v>
      </c>
      <c r="Z132" s="48">
        <f>+E132*Q132/1000</f>
        <v>1117.5138055186869</v>
      </c>
      <c r="AA132" s="48">
        <f>+L132*R132/1000</f>
        <v>18936.108274026556</v>
      </c>
    </row>
    <row r="133" spans="1:39" x14ac:dyDescent="0.2">
      <c r="A133" s="12"/>
      <c r="C133" s="42"/>
      <c r="D133" s="42"/>
      <c r="E133" s="44"/>
      <c r="F133" s="44"/>
      <c r="G133" s="44"/>
      <c r="H133" s="44"/>
      <c r="I133" s="44"/>
      <c r="J133" s="44"/>
      <c r="K133" s="44"/>
      <c r="L133" s="44"/>
      <c r="M133" s="44"/>
      <c r="Q133" s="30"/>
      <c r="R133" s="30"/>
      <c r="T133" s="30"/>
      <c r="U133" s="30"/>
      <c r="W133" s="30"/>
      <c r="X133" s="30"/>
      <c r="Z133" s="47">
        <f>+Z132+Z131</f>
        <v>2816.5983121799072</v>
      </c>
      <c r="AA133" s="47">
        <f>+AA132+AA131</f>
        <v>51074.501821250706</v>
      </c>
      <c r="AC133" s="2">
        <f>+E112</f>
        <v>2816.5983121799068</v>
      </c>
      <c r="AD133" s="2">
        <f>+L112</f>
        <v>51074.501821250698</v>
      </c>
    </row>
    <row r="134" spans="1:39" x14ac:dyDescent="0.2">
      <c r="A134" s="12"/>
      <c r="B134" s="19" t="s">
        <v>24</v>
      </c>
      <c r="C134" s="41">
        <f t="shared" ref="C134:L134" si="55">+C116/SUM(C45:C49,C54:C56)*1000</f>
        <v>34.772982188570779</v>
      </c>
      <c r="D134" s="41">
        <f t="shared" si="55"/>
        <v>36.13028188417853</v>
      </c>
      <c r="E134" s="41">
        <f t="shared" si="55"/>
        <v>34.973072808493626</v>
      </c>
      <c r="F134" s="41">
        <f t="shared" si="55"/>
        <v>34.350483739407707</v>
      </c>
      <c r="G134" s="41">
        <f t="shared" si="55"/>
        <v>34.560636878419977</v>
      </c>
      <c r="H134" s="41">
        <f t="shared" si="55"/>
        <v>36.423696752546704</v>
      </c>
      <c r="I134" s="41">
        <f t="shared" si="55"/>
        <v>32.443913921731593</v>
      </c>
      <c r="J134" s="41">
        <f t="shared" si="55"/>
        <v>32.454619211323426</v>
      </c>
      <c r="K134" s="41">
        <f t="shared" si="55"/>
        <v>35.345642170538156</v>
      </c>
      <c r="L134" s="41">
        <f t="shared" si="55"/>
        <v>35.055887687152577</v>
      </c>
      <c r="M134" s="41"/>
      <c r="Q134" s="30"/>
      <c r="R134" s="30"/>
      <c r="T134" s="30"/>
      <c r="U134" s="30"/>
      <c r="W134" s="30"/>
      <c r="X134" s="30"/>
      <c r="Z134" s="47"/>
      <c r="AA134" s="47"/>
      <c r="AC134" s="2"/>
    </row>
    <row r="135" spans="1:39" x14ac:dyDescent="0.2">
      <c r="A135" s="12"/>
      <c r="B135" s="39" t="s">
        <v>84</v>
      </c>
      <c r="C135" s="43"/>
      <c r="D135" s="43"/>
      <c r="E135" s="42">
        <f>+(E117*1000-W135*AVERAGE(E$99,E$100))/Q135</f>
        <v>41.050191360621838</v>
      </c>
      <c r="F135" s="42"/>
      <c r="G135" s="42"/>
      <c r="H135" s="43"/>
      <c r="I135" s="43"/>
      <c r="J135" s="43"/>
      <c r="K135" s="43"/>
      <c r="L135" s="42">
        <f>+(L117*1000-X135*AVERAGE(L$99,L$100))/R135</f>
        <v>40.288369807983734</v>
      </c>
      <c r="M135" s="42"/>
      <c r="N135" s="42"/>
      <c r="Q135" s="30">
        <f>SUMPRODUCT(E45:E49,E27:E31)+SUMPRODUCT(E54:E56,E36:E38)</f>
        <v>49977.309414706207</v>
      </c>
      <c r="R135" s="30">
        <f>SUMPRODUCT(L45:L49,L27:L31)+SUMPRODUCT(L54:L56,L36:L38)</f>
        <v>1488257.8161359639</v>
      </c>
      <c r="T135" s="30">
        <f>SUMPRODUCT(E45:E49,E9:E13)+SUMPRODUCT(E54:E56,E18:E20)</f>
        <v>57633.76639639827</v>
      </c>
      <c r="U135" s="30">
        <f>SUMPRODUCT(L45:L49,L9:L13)+SUMPRODUCT(L54:L56,L18:L20)</f>
        <v>1673945.8932639481</v>
      </c>
      <c r="W135" s="30">
        <f>+T135-Q135</f>
        <v>7656.456981692063</v>
      </c>
      <c r="X135" s="30">
        <f>+U135-R135</f>
        <v>185688.07712798426</v>
      </c>
      <c r="Z135" s="47">
        <f>+E135*Q135/1000</f>
        <v>2051.578115162697</v>
      </c>
      <c r="AA135" s="47">
        <f>+L135*R135/1000</f>
        <v>59959.481266107978</v>
      </c>
      <c r="AC135" s="2"/>
    </row>
    <row r="136" spans="1:39" ht="15" x14ac:dyDescent="0.35">
      <c r="A136" s="12"/>
      <c r="B136" s="39" t="s">
        <v>85</v>
      </c>
      <c r="C136" s="43"/>
      <c r="D136" s="43"/>
      <c r="E136" s="42">
        <f>+(E118*1000-W136*AVERAGE(E$99,E$100))/Q136</f>
        <v>30.319746740619976</v>
      </c>
      <c r="F136" s="42"/>
      <c r="G136" s="42"/>
      <c r="H136" s="43"/>
      <c r="I136" s="43"/>
      <c r="J136" s="43"/>
      <c r="K136" s="43"/>
      <c r="L136" s="42">
        <f>+(L118*1000-X136*AVERAGE(L$99,L$100))/R136</f>
        <v>29.936181740998236</v>
      </c>
      <c r="M136" s="42"/>
      <c r="N136" s="42"/>
      <c r="Q136" s="30">
        <f>SUMPRODUCT(E45:E49,Q27:Q31)+SUMPRODUCT(E54:E56,Q36:Q38)</f>
        <v>65269.020438180378</v>
      </c>
      <c r="R136" s="30">
        <f>SUMPRODUCT(L45:L49,X27:X31)+SUMPRODUCT(L54:L56,X36:X38)</f>
        <v>1521040.9535274298</v>
      </c>
      <c r="T136" s="30">
        <f>SUMPRODUCT(E45:E49,Q9:Q13)+SUMPRODUCT(E54:E56,Q18:Q20)</f>
        <v>57612.563456488308</v>
      </c>
      <c r="U136" s="30">
        <f>SUMPRODUCT(L45:L49,X9:X13)+SUMPRODUCT(L54:L56,X18:X20)</f>
        <v>1335352.8763994456</v>
      </c>
      <c r="W136" s="30">
        <f>+T136-Q136</f>
        <v>-7656.4569816920703</v>
      </c>
      <c r="X136" s="30">
        <f>+U136-R136</f>
        <v>-185688.07712798426</v>
      </c>
      <c r="Z136" s="48">
        <f>+E136*Q136/1000</f>
        <v>1978.9401696939781</v>
      </c>
      <c r="AA136" s="48">
        <f>+L136*R136/1000</f>
        <v>45534.158420298387</v>
      </c>
      <c r="AC136" s="2"/>
    </row>
    <row r="137" spans="1:39" x14ac:dyDescent="0.2">
      <c r="A137" s="12"/>
      <c r="C137" s="40"/>
      <c r="D137" s="40"/>
      <c r="E137" s="40"/>
      <c r="F137" s="40"/>
      <c r="G137" s="40"/>
      <c r="H137" s="40"/>
      <c r="I137" s="40"/>
      <c r="J137" s="40"/>
      <c r="K137" s="40"/>
      <c r="L137" s="40"/>
      <c r="M137" s="40"/>
      <c r="Z137" s="47">
        <f>+Z136+Z135</f>
        <v>4030.5182848566751</v>
      </c>
      <c r="AA137" s="47">
        <f>+AA136+AA135</f>
        <v>105493.63968640636</v>
      </c>
      <c r="AC137" s="2">
        <f>+E116</f>
        <v>4030.5182848566751</v>
      </c>
      <c r="AD137" s="2">
        <f>+L116</f>
        <v>105493.63968640636</v>
      </c>
    </row>
    <row r="138" spans="1:39" x14ac:dyDescent="0.2">
      <c r="A138" s="12"/>
      <c r="B138" s="1" t="s">
        <v>86</v>
      </c>
      <c r="C138" s="3">
        <f t="shared" ref="C138:L138" si="56">(C130*SUM(C50:C53)+C134*SUM(C45:C49,C54:C56))/C57</f>
        <v>32.558872988588838</v>
      </c>
      <c r="D138" s="3">
        <f t="shared" si="56"/>
        <v>34.632087283106557</v>
      </c>
      <c r="E138" s="3">
        <f t="shared" si="56"/>
        <v>32.751672564601513</v>
      </c>
      <c r="F138" s="3">
        <f t="shared" si="56"/>
        <v>32.835951221251875</v>
      </c>
      <c r="G138" s="3">
        <f t="shared" si="56"/>
        <v>33.019344584394375</v>
      </c>
      <c r="H138" s="3">
        <f t="shared" si="56"/>
        <v>35.305516755137695</v>
      </c>
      <c r="I138" s="3">
        <f t="shared" si="56"/>
        <v>30.387634557079561</v>
      </c>
      <c r="J138" s="3">
        <f t="shared" si="56"/>
        <v>30.450797834927531</v>
      </c>
      <c r="K138" s="3">
        <f t="shared" si="56"/>
        <v>33.64373215219765</v>
      </c>
      <c r="L138" s="3">
        <f t="shared" si="56"/>
        <v>33.368582628505536</v>
      </c>
      <c r="M138" s="3"/>
      <c r="AC138" s="2"/>
    </row>
    <row r="139" spans="1:39" x14ac:dyDescent="0.2">
      <c r="A139" s="12"/>
      <c r="B139" s="1" t="s">
        <v>87</v>
      </c>
      <c r="C139" s="42">
        <f>+C122/SUM(C57:L57)*1000</f>
        <v>32.979108726204522</v>
      </c>
      <c r="T139" s="30"/>
      <c r="U139" s="30"/>
    </row>
    <row r="140" spans="1:39" x14ac:dyDescent="0.2">
      <c r="A140" s="12"/>
      <c r="T140" s="30"/>
      <c r="U140" s="30"/>
    </row>
    <row r="141" spans="1:39" x14ac:dyDescent="0.2">
      <c r="A141" s="12"/>
      <c r="T141" s="30"/>
      <c r="U141" s="30"/>
    </row>
    <row r="142" spans="1:39" x14ac:dyDescent="0.2">
      <c r="A142" s="8" t="s">
        <v>71</v>
      </c>
      <c r="B142" s="6" t="s">
        <v>159</v>
      </c>
      <c r="L142" s="18" t="s">
        <v>199</v>
      </c>
      <c r="T142" s="30"/>
      <c r="U142" s="30"/>
    </row>
    <row r="143" spans="1:39" x14ac:dyDescent="0.2">
      <c r="A143" s="12"/>
      <c r="B143" s="7" t="str">
        <f>Input!B97</f>
        <v>obligations - Peak Load shares eff 6/1/17, scaling factors eff 6/1/17, Transmission Loads eff 1/1/17; costs are market estimates</v>
      </c>
      <c r="L143" s="18" t="s">
        <v>309</v>
      </c>
      <c r="T143" s="30"/>
      <c r="U143" s="30"/>
    </row>
    <row r="144" spans="1:39" x14ac:dyDescent="0.2">
      <c r="A144" s="12"/>
      <c r="B144" s="7" t="s">
        <v>77</v>
      </c>
      <c r="C144" s="18" t="str">
        <f>+C7</f>
        <v>RS</v>
      </c>
      <c r="D144" s="18" t="str">
        <f t="shared" ref="D144:L144" si="57">+D7</f>
        <v>RHS</v>
      </c>
      <c r="E144" s="18" t="str">
        <f t="shared" si="57"/>
        <v>RLM</v>
      </c>
      <c r="F144" s="18" t="str">
        <f t="shared" si="57"/>
        <v>WH</v>
      </c>
      <c r="G144" s="18" t="str">
        <f t="shared" si="57"/>
        <v>WHS</v>
      </c>
      <c r="H144" s="18" t="str">
        <f t="shared" si="57"/>
        <v>HS</v>
      </c>
      <c r="I144" s="18" t="str">
        <f t="shared" si="57"/>
        <v>PSAL</v>
      </c>
      <c r="J144" s="18" t="str">
        <f t="shared" si="57"/>
        <v>BPL</v>
      </c>
      <c r="K144" s="18" t="str">
        <f t="shared" si="57"/>
        <v>GLP</v>
      </c>
      <c r="L144" s="18" t="str">
        <f t="shared" si="57"/>
        <v>LPL-S</v>
      </c>
      <c r="M144" s="18"/>
      <c r="T144" s="30"/>
      <c r="U144" s="30"/>
      <c r="AD144" s="18" t="s">
        <v>0</v>
      </c>
      <c r="AE144" s="18" t="s">
        <v>1</v>
      </c>
      <c r="AF144" s="18" t="s">
        <v>2</v>
      </c>
      <c r="AG144" s="18" t="s">
        <v>3</v>
      </c>
      <c r="AH144" s="18" t="s">
        <v>4</v>
      </c>
      <c r="AI144" s="18" t="s">
        <v>6</v>
      </c>
      <c r="AJ144" s="18" t="s">
        <v>37</v>
      </c>
      <c r="AK144" s="18" t="s">
        <v>38</v>
      </c>
      <c r="AL144" s="18" t="s">
        <v>5</v>
      </c>
      <c r="AM144" s="18" t="s">
        <v>36</v>
      </c>
    </row>
    <row r="145" spans="1:39" x14ac:dyDescent="0.2">
      <c r="A145" s="12"/>
      <c r="B145" s="7"/>
      <c r="C145" s="18"/>
      <c r="D145" s="18"/>
      <c r="E145" s="18"/>
      <c r="F145" s="18"/>
      <c r="G145" s="18"/>
      <c r="H145" s="18"/>
      <c r="I145" s="18"/>
      <c r="J145" s="18"/>
      <c r="K145" s="18"/>
      <c r="M145" s="18"/>
      <c r="R145" s="360" t="s">
        <v>290</v>
      </c>
      <c r="S145" s="361"/>
      <c r="T145" s="361"/>
      <c r="U145" s="361"/>
      <c r="V145" s="361"/>
      <c r="AC145" s="173" t="s">
        <v>310</v>
      </c>
      <c r="AD145" s="169">
        <f>Input!C101</f>
        <v>3805.8585890907002</v>
      </c>
      <c r="AE145" s="169">
        <f>Input!D101</f>
        <v>21.793080793547258</v>
      </c>
      <c r="AF145" s="169">
        <f>Input!E101</f>
        <v>71.974312674933245</v>
      </c>
      <c r="AG145" s="169">
        <f>Input!F101</f>
        <v>0</v>
      </c>
      <c r="AH145" s="169">
        <f>Input!G101</f>
        <v>0</v>
      </c>
      <c r="AI145" s="169">
        <f>Input!H101</f>
        <v>2.7543500891209174</v>
      </c>
      <c r="AJ145" s="169">
        <f>Input!I101</f>
        <v>0</v>
      </c>
      <c r="AK145" s="169">
        <f>Input!J101</f>
        <v>0</v>
      </c>
      <c r="AL145" s="169">
        <f>Input!K101</f>
        <v>1745.8618222973591</v>
      </c>
      <c r="AM145" s="169">
        <f>Input!L101</f>
        <v>1318.1217569554176</v>
      </c>
    </row>
    <row r="146" spans="1:39" x14ac:dyDescent="0.2">
      <c r="A146" s="12"/>
      <c r="T146" s="11" t="s">
        <v>292</v>
      </c>
      <c r="U146" s="1" t="s">
        <v>291</v>
      </c>
      <c r="AC146" s="28" t="s">
        <v>293</v>
      </c>
      <c r="AD146" s="169">
        <f>Input!C102</f>
        <v>3750.4617613296709</v>
      </c>
      <c r="AE146" s="169">
        <f>Input!D102</f>
        <v>21.73677102533615</v>
      </c>
      <c r="AF146" s="169">
        <f>Input!E102</f>
        <v>71.765227093933873</v>
      </c>
      <c r="AG146" s="169">
        <f>Input!F102</f>
        <v>0</v>
      </c>
      <c r="AH146" s="169">
        <f>Input!G102</f>
        <v>0</v>
      </c>
      <c r="AI146" s="169">
        <f>Input!H102</f>
        <v>2.7646388903643895</v>
      </c>
      <c r="AJ146" s="169">
        <f>Input!I102</f>
        <v>0</v>
      </c>
      <c r="AK146" s="169">
        <f>Input!J102</f>
        <v>0</v>
      </c>
      <c r="AL146" s="169">
        <f>Input!K102</f>
        <v>1807.2661239351662</v>
      </c>
      <c r="AM146" s="169">
        <f>Input!L102</f>
        <v>1351.1166865184252</v>
      </c>
    </row>
    <row r="147" spans="1:39" x14ac:dyDescent="0.2">
      <c r="A147" s="107"/>
      <c r="B147" s="1" t="s">
        <v>25</v>
      </c>
      <c r="C147" s="79">
        <f>ROUND(AD145*$AD$148*$AD$149,1)</f>
        <v>4365.8</v>
      </c>
      <c r="D147" s="79">
        <f t="shared" ref="D147:K147" si="58">ROUND(AE145*$AD$148*$AD$149,1)</f>
        <v>25</v>
      </c>
      <c r="E147" s="79">
        <f t="shared" si="58"/>
        <v>82.6</v>
      </c>
      <c r="F147" s="79">
        <f t="shared" si="58"/>
        <v>0</v>
      </c>
      <c r="G147" s="79">
        <f t="shared" si="58"/>
        <v>0</v>
      </c>
      <c r="H147" s="79">
        <f t="shared" si="58"/>
        <v>3.2</v>
      </c>
      <c r="I147" s="79">
        <f t="shared" si="58"/>
        <v>0</v>
      </c>
      <c r="J147" s="79">
        <f t="shared" si="58"/>
        <v>0</v>
      </c>
      <c r="K147" s="79">
        <f t="shared" si="58"/>
        <v>2002.7</v>
      </c>
      <c r="L147" s="79">
        <f>ROUND(AM145*$AD$148*$AD$149*(1-AE45),1)</f>
        <v>990.6</v>
      </c>
      <c r="M147" s="50"/>
      <c r="R147" s="153">
        <f>Input!C108</f>
        <v>2016</v>
      </c>
      <c r="S147" s="173" t="s">
        <v>325</v>
      </c>
      <c r="T147" s="153">
        <f>Input!D108</f>
        <v>28</v>
      </c>
      <c r="U147" s="168">
        <f>Input!E108</f>
        <v>82516.44</v>
      </c>
      <c r="V147" s="146">
        <f>U147/$T$150*T147</f>
        <v>27181.88611764706</v>
      </c>
    </row>
    <row r="148" spans="1:39" x14ac:dyDescent="0.2">
      <c r="A148" s="1"/>
      <c r="C148" s="151"/>
      <c r="D148" s="11"/>
      <c r="E148" s="11"/>
      <c r="F148" s="11"/>
      <c r="G148" s="11"/>
      <c r="H148" s="11"/>
      <c r="I148" s="11"/>
      <c r="J148" s="11"/>
      <c r="K148" s="11"/>
      <c r="L148" s="11"/>
      <c r="R148" s="153">
        <f>Input!C109</f>
        <v>2017</v>
      </c>
      <c r="S148" s="173" t="s">
        <v>325</v>
      </c>
      <c r="T148" s="153">
        <f>Input!D109</f>
        <v>28</v>
      </c>
      <c r="U148" s="168">
        <f>Input!E109</f>
        <v>91224.18</v>
      </c>
      <c r="V148" s="146">
        <f>U148/$T$150*T148</f>
        <v>30050.318117647053</v>
      </c>
      <c r="AC148" s="28" t="s">
        <v>294</v>
      </c>
      <c r="AD148" s="170">
        <f>Input!C104</f>
        <v>1.0459721343534554</v>
      </c>
    </row>
    <row r="149" spans="1:39" x14ac:dyDescent="0.2">
      <c r="A149" s="107"/>
      <c r="B149" s="1" t="s">
        <v>26</v>
      </c>
      <c r="C149" s="79">
        <f>ROUND(AD146,1)</f>
        <v>3750.5</v>
      </c>
      <c r="D149" s="79">
        <f t="shared" ref="D149:K149" si="59">ROUND(AE146,1)</f>
        <v>21.7</v>
      </c>
      <c r="E149" s="79">
        <f t="shared" si="59"/>
        <v>71.8</v>
      </c>
      <c r="F149" s="79">
        <f t="shared" si="59"/>
        <v>0</v>
      </c>
      <c r="G149" s="79">
        <f t="shared" si="59"/>
        <v>0</v>
      </c>
      <c r="H149" s="79">
        <f t="shared" si="59"/>
        <v>2.8</v>
      </c>
      <c r="I149" s="79">
        <f t="shared" si="59"/>
        <v>0</v>
      </c>
      <c r="J149" s="79">
        <f t="shared" si="59"/>
        <v>0</v>
      </c>
      <c r="K149" s="79">
        <f t="shared" si="59"/>
        <v>1807.3</v>
      </c>
      <c r="L149" s="79">
        <f>ROUND(AM146*(1-AF45),1)</f>
        <v>885.2</v>
      </c>
      <c r="M149" s="50"/>
      <c r="R149" s="153">
        <f>Input!C110</f>
        <v>2018</v>
      </c>
      <c r="S149" s="173" t="s">
        <v>325</v>
      </c>
      <c r="T149" s="153">
        <f>Input!D110</f>
        <v>29</v>
      </c>
      <c r="U149" s="168">
        <f>Input!E110</f>
        <v>101196.71146807222</v>
      </c>
      <c r="V149" s="147">
        <f>U149/$T$150*T149</f>
        <v>34525.936853812877</v>
      </c>
      <c r="X149" s="1" t="str">
        <f>+Input!B105</f>
        <v>PJM June 1, 2017 (through May 31, 2018) Forecast Pool Requirement</v>
      </c>
      <c r="AD149" s="170">
        <f>Input!C105</f>
        <v>1.0967</v>
      </c>
    </row>
    <row r="150" spans="1:39" x14ac:dyDescent="0.2">
      <c r="A150" s="1"/>
      <c r="C150" s="49"/>
      <c r="D150" s="49"/>
      <c r="E150" s="49"/>
      <c r="F150" s="49"/>
      <c r="G150" s="49"/>
      <c r="H150" s="49"/>
      <c r="I150" s="49"/>
      <c r="J150" s="49"/>
      <c r="K150" s="49"/>
      <c r="M150" s="49"/>
      <c r="T150" s="1">
        <f>SUM(T147:T149)</f>
        <v>85</v>
      </c>
      <c r="V150" s="146">
        <f>ROUND(SUM(V147:V149),2)</f>
        <v>91758.14</v>
      </c>
    </row>
    <row r="151" spans="1:39" x14ac:dyDescent="0.2">
      <c r="A151" s="12"/>
      <c r="B151" s="1" t="s">
        <v>110</v>
      </c>
      <c r="I151" s="49"/>
      <c r="K151" s="18"/>
      <c r="M151" s="49"/>
    </row>
    <row r="152" spans="1:39" x14ac:dyDescent="0.2">
      <c r="A152" s="12"/>
      <c r="D152" s="28" t="s">
        <v>103</v>
      </c>
      <c r="E152" s="171">
        <v>122</v>
      </c>
      <c r="G152" s="28" t="s">
        <v>105</v>
      </c>
      <c r="H152" s="11">
        <v>4</v>
      </c>
      <c r="I152" s="49"/>
      <c r="M152" s="49"/>
    </row>
    <row r="153" spans="1:39" x14ac:dyDescent="0.2">
      <c r="A153" s="12"/>
      <c r="D153" s="51" t="s">
        <v>104</v>
      </c>
      <c r="E153" s="98">
        <v>243</v>
      </c>
      <c r="G153" s="51" t="s">
        <v>106</v>
      </c>
      <c r="H153" s="11">
        <v>8</v>
      </c>
      <c r="I153" s="49"/>
      <c r="K153" s="81"/>
      <c r="L153" s="81"/>
      <c r="M153" s="49"/>
    </row>
    <row r="154" spans="1:39" x14ac:dyDescent="0.2">
      <c r="A154" s="12"/>
      <c r="G154" s="28" t="s">
        <v>111</v>
      </c>
      <c r="H154" s="1">
        <f>+H152+H153</f>
        <v>12</v>
      </c>
      <c r="I154" s="49"/>
      <c r="J154" s="80"/>
      <c r="K154" s="81"/>
      <c r="L154" s="81"/>
      <c r="M154" s="49"/>
    </row>
    <row r="155" spans="1:39" x14ac:dyDescent="0.2">
      <c r="A155" s="12"/>
      <c r="B155" s="11" t="s">
        <v>101</v>
      </c>
      <c r="C155" s="28" t="s">
        <v>180</v>
      </c>
      <c r="D155" s="154">
        <f>V150</f>
        <v>91758.14</v>
      </c>
      <c r="E155" s="53" t="s">
        <v>30</v>
      </c>
      <c r="K155" s="82"/>
      <c r="L155" s="83"/>
    </row>
    <row r="156" spans="1:39" x14ac:dyDescent="0.2">
      <c r="A156" s="12"/>
      <c r="B156" s="11"/>
      <c r="C156" s="28"/>
      <c r="D156" s="154"/>
      <c r="E156" s="53"/>
      <c r="K156" s="82"/>
      <c r="L156" s="83"/>
    </row>
    <row r="157" spans="1:39" ht="38.25" x14ac:dyDescent="0.2">
      <c r="A157" s="12"/>
      <c r="B157" s="11"/>
      <c r="D157" s="273" t="s">
        <v>316</v>
      </c>
      <c r="E157" s="273" t="s">
        <v>317</v>
      </c>
      <c r="F157" s="1" t="s">
        <v>318</v>
      </c>
      <c r="I157" s="167"/>
      <c r="K157" s="82"/>
      <c r="L157" s="83"/>
    </row>
    <row r="158" spans="1:39" x14ac:dyDescent="0.2">
      <c r="A158" s="12"/>
      <c r="B158" s="11" t="s">
        <v>102</v>
      </c>
      <c r="C158" s="28" t="s">
        <v>151</v>
      </c>
      <c r="D158" s="167">
        <f>Input!E113</f>
        <v>169.73527191124808</v>
      </c>
      <c r="E158" s="167">
        <v>0</v>
      </c>
      <c r="F158" s="66">
        <f>SUM(D158:E158)</f>
        <v>169.73527191124808</v>
      </c>
      <c r="G158" s="53" t="s">
        <v>98</v>
      </c>
      <c r="K158" s="103"/>
    </row>
    <row r="159" spans="1:39" x14ac:dyDescent="0.2">
      <c r="A159" s="12"/>
      <c r="C159" s="28" t="s">
        <v>152</v>
      </c>
      <c r="D159" s="167">
        <f>Input!E114</f>
        <v>169.73527191124808</v>
      </c>
      <c r="E159" s="277">
        <f>E158</f>
        <v>0</v>
      </c>
      <c r="F159" s="66">
        <f>SUM(D159:E159)</f>
        <v>169.73527191124808</v>
      </c>
      <c r="G159" s="53" t="s">
        <v>98</v>
      </c>
      <c r="Q159" s="28" t="s">
        <v>100</v>
      </c>
    </row>
    <row r="160" spans="1:39" x14ac:dyDescent="0.2">
      <c r="A160" s="12"/>
      <c r="E160" s="84"/>
      <c r="F160" s="11"/>
      <c r="G160" s="11"/>
      <c r="H160" s="11"/>
      <c r="I160" s="11"/>
      <c r="J160" s="11"/>
      <c r="P160" s="28" t="s">
        <v>107</v>
      </c>
      <c r="Q160" s="54">
        <f>(F158*E152+F159*E153)/1000</f>
        <v>61.953374247605545</v>
      </c>
      <c r="R160" s="1" t="s">
        <v>99</v>
      </c>
    </row>
    <row r="161" spans="1:18" x14ac:dyDescent="0.2">
      <c r="A161" s="8"/>
      <c r="C161" s="18" t="str">
        <f>+C7</f>
        <v>RS</v>
      </c>
      <c r="D161" s="18" t="str">
        <f>+D7</f>
        <v>RHS</v>
      </c>
      <c r="F161" s="11"/>
      <c r="G161" s="11"/>
      <c r="H161" s="11"/>
      <c r="I161" s="11"/>
      <c r="J161" s="85"/>
    </row>
    <row r="162" spans="1:18" x14ac:dyDescent="0.2">
      <c r="A162" s="8"/>
      <c r="B162" s="88" t="s">
        <v>187</v>
      </c>
      <c r="C162" s="88"/>
      <c r="D162" s="88"/>
      <c r="F162" s="11"/>
      <c r="G162" s="11"/>
      <c r="H162" s="11"/>
      <c r="I162" s="11"/>
      <c r="J162" s="85"/>
      <c r="K162" s="40"/>
    </row>
    <row r="163" spans="1:18" x14ac:dyDescent="0.2">
      <c r="A163" s="8"/>
      <c r="B163" s="85" t="s">
        <v>161</v>
      </c>
      <c r="C163" s="91">
        <f>ROUND(Q165/Q167,3)</f>
        <v>0.64700000000000002</v>
      </c>
      <c r="D163" s="91">
        <f>ROUND(R165/R167,3)</f>
        <v>0.63300000000000001</v>
      </c>
      <c r="F163" s="7" t="s">
        <v>285</v>
      </c>
      <c r="G163" s="86"/>
      <c r="H163" s="87"/>
      <c r="I163" s="87"/>
      <c r="J163" s="85"/>
      <c r="K163" s="40"/>
      <c r="P163" s="33" t="s">
        <v>289</v>
      </c>
      <c r="Q163" s="33"/>
      <c r="R163" s="33"/>
    </row>
    <row r="164" spans="1:18" x14ac:dyDescent="0.2">
      <c r="A164" s="8"/>
      <c r="B164" s="85" t="s">
        <v>186</v>
      </c>
      <c r="C164" s="91">
        <f>1-C163</f>
        <v>0.35299999999999998</v>
      </c>
      <c r="D164" s="91">
        <f>1-D163</f>
        <v>0.36699999999999999</v>
      </c>
      <c r="F164" s="11"/>
      <c r="H164" s="11"/>
      <c r="I164" s="11"/>
      <c r="J164" s="85"/>
      <c r="K164" s="40"/>
      <c r="N164" s="153"/>
      <c r="Q164" s="1" t="s">
        <v>0</v>
      </c>
      <c r="R164" s="1" t="s">
        <v>1</v>
      </c>
    </row>
    <row r="165" spans="1:18" x14ac:dyDescent="0.2">
      <c r="A165" s="8"/>
      <c r="F165" s="11"/>
      <c r="H165" s="11"/>
      <c r="I165" s="11"/>
      <c r="J165" s="85"/>
      <c r="K165" s="40"/>
      <c r="P165" s="1" t="s">
        <v>286</v>
      </c>
      <c r="Q165" s="144">
        <v>3626859</v>
      </c>
      <c r="R165" s="144">
        <v>27006</v>
      </c>
    </row>
    <row r="166" spans="1:18" x14ac:dyDescent="0.2">
      <c r="A166" s="8"/>
      <c r="B166" s="85" t="s">
        <v>185</v>
      </c>
      <c r="C166" s="89">
        <f>Input!C119</f>
        <v>0.86519999999999975</v>
      </c>
      <c r="D166" s="89">
        <f>Input!D119</f>
        <v>1.1569000000000003</v>
      </c>
      <c r="E166" s="11" t="s">
        <v>162</v>
      </c>
      <c r="F166" s="15" t="s">
        <v>188</v>
      </c>
      <c r="I166" s="11"/>
      <c r="J166" s="85"/>
      <c r="K166" s="40"/>
      <c r="P166" s="1" t="s">
        <v>287</v>
      </c>
      <c r="Q166" s="145">
        <v>1975894</v>
      </c>
      <c r="R166" s="145">
        <v>15667</v>
      </c>
    </row>
    <row r="167" spans="1:18" x14ac:dyDescent="0.2">
      <c r="A167" s="8"/>
      <c r="F167" s="11"/>
      <c r="H167" s="11"/>
      <c r="I167" s="11"/>
      <c r="J167" s="85"/>
      <c r="K167" s="40"/>
      <c r="P167" s="1" t="s">
        <v>288</v>
      </c>
      <c r="Q167" s="144">
        <f>SUM(Q165:Q166)</f>
        <v>5602753</v>
      </c>
      <c r="R167" s="144">
        <f>SUM(R165:R166)</f>
        <v>42673</v>
      </c>
    </row>
    <row r="168" spans="1:18" x14ac:dyDescent="0.2">
      <c r="A168" s="8" t="s">
        <v>72</v>
      </c>
      <c r="B168" s="178" t="s">
        <v>358</v>
      </c>
      <c r="F168" s="11"/>
      <c r="H168" s="11"/>
      <c r="I168" s="11"/>
      <c r="J168" s="85"/>
      <c r="K168" s="40"/>
      <c r="Q168" s="144"/>
      <c r="R168" s="144"/>
    </row>
    <row r="169" spans="1:18" x14ac:dyDescent="0.2">
      <c r="A169" s="1"/>
      <c r="B169" s="90" t="s">
        <v>359</v>
      </c>
      <c r="C169" s="11"/>
      <c r="D169" s="81">
        <f>+Input!D123</f>
        <v>2</v>
      </c>
      <c r="E169" s="11"/>
      <c r="F169" s="11"/>
      <c r="G169" s="11"/>
      <c r="H169" s="11"/>
      <c r="I169" s="11"/>
      <c r="J169" s="11"/>
    </row>
    <row r="170" spans="1:18" x14ac:dyDescent="0.2">
      <c r="A170" s="8"/>
      <c r="B170" s="90" t="s">
        <v>360</v>
      </c>
      <c r="D170" s="81">
        <f>+Input!D124</f>
        <v>6.96</v>
      </c>
      <c r="I170" s="11"/>
      <c r="J170" s="11"/>
    </row>
    <row r="171" spans="1:18" x14ac:dyDescent="0.2">
      <c r="A171" s="12"/>
      <c r="B171" s="90" t="s">
        <v>361</v>
      </c>
      <c r="D171" s="277">
        <f>SUM(D169:D170)</f>
        <v>8.9600000000000009</v>
      </c>
      <c r="E171" s="53" t="s">
        <v>143</v>
      </c>
    </row>
    <row r="172" spans="1:18" x14ac:dyDescent="0.2">
      <c r="A172" s="12"/>
      <c r="B172" s="7"/>
      <c r="F172" s="53"/>
    </row>
    <row r="173" spans="1:18" x14ac:dyDescent="0.2">
      <c r="A173" s="12"/>
      <c r="B173" s="6"/>
      <c r="E173" s="52"/>
      <c r="F173" s="53"/>
    </row>
    <row r="174" spans="1:18" x14ac:dyDescent="0.2">
      <c r="A174" s="8" t="s">
        <v>74</v>
      </c>
      <c r="B174" s="6" t="s">
        <v>140</v>
      </c>
    </row>
    <row r="175" spans="1:18" x14ac:dyDescent="0.2">
      <c r="A175" s="8"/>
      <c r="B175" s="6"/>
    </row>
    <row r="176" spans="1:18" x14ac:dyDescent="0.2">
      <c r="A176" s="8"/>
      <c r="B176" s="6"/>
      <c r="C176" s="18" t="str">
        <f t="shared" ref="C176:J176" si="60">+C7</f>
        <v>RS</v>
      </c>
      <c r="D176" s="18" t="str">
        <f t="shared" si="60"/>
        <v>RHS</v>
      </c>
      <c r="E176" s="18" t="str">
        <f t="shared" si="60"/>
        <v>RLM</v>
      </c>
      <c r="F176" s="18" t="str">
        <f t="shared" si="60"/>
        <v>WH</v>
      </c>
      <c r="G176" s="18" t="str">
        <f t="shared" si="60"/>
        <v>WHS</v>
      </c>
      <c r="H176" s="18" t="str">
        <f t="shared" si="60"/>
        <v>HS</v>
      </c>
      <c r="I176" s="18" t="str">
        <f t="shared" si="60"/>
        <v>PSAL</v>
      </c>
      <c r="J176" s="18" t="str">
        <f t="shared" si="60"/>
        <v>BPL</v>
      </c>
    </row>
    <row r="177" spans="1:13" x14ac:dyDescent="0.2">
      <c r="A177" s="8"/>
      <c r="B177" s="6"/>
    </row>
    <row r="178" spans="1:13" x14ac:dyDescent="0.2">
      <c r="A178" s="12"/>
      <c r="B178" s="28" t="s">
        <v>118</v>
      </c>
      <c r="C178" s="54">
        <f>(+$D$155*C149*$H$154/12)/C57</f>
        <v>28.265923771386941</v>
      </c>
      <c r="D178" s="54">
        <f>(+$D$155*D149*$H$154/12)/D57</f>
        <v>17.440569482421541</v>
      </c>
      <c r="E178" s="54">
        <f>(+$D$155*E149*$H$154/12)/SUMPRODUCT(E27:E38,E45:E56)</f>
        <v>69.28150489018013</v>
      </c>
      <c r="F178" s="54">
        <f>(+$D$155*F149*$H$154/12)/F57</f>
        <v>0</v>
      </c>
      <c r="G178" s="54">
        <f>(+$D$155*G149*$H$154/12)/G57</f>
        <v>0</v>
      </c>
      <c r="H178" s="54">
        <f>(+$D$155*H149*$H$154/12)/H57</f>
        <v>20.771502606603836</v>
      </c>
      <c r="I178" s="54">
        <f>(+$D$155*I149*$H$154/12)/I57</f>
        <v>0</v>
      </c>
      <c r="J178" s="54">
        <f>(+$D$155*J149*$H$154/12)/J57</f>
        <v>0</v>
      </c>
      <c r="K178" s="54"/>
      <c r="L178" s="54"/>
      <c r="M178" s="54"/>
    </row>
    <row r="179" spans="1:13" x14ac:dyDescent="0.2">
      <c r="A179" s="12"/>
      <c r="B179" s="28"/>
      <c r="C179" s="54"/>
      <c r="D179" s="54"/>
      <c r="E179" s="54"/>
      <c r="F179" s="54"/>
      <c r="G179" s="54"/>
      <c r="H179" s="54"/>
      <c r="I179" s="54"/>
      <c r="J179" s="54"/>
      <c r="K179" s="54"/>
      <c r="L179" s="54"/>
      <c r="M179" s="54"/>
    </row>
    <row r="180" spans="1:13" x14ac:dyDescent="0.2">
      <c r="A180" s="12"/>
      <c r="B180" s="28" t="s">
        <v>153</v>
      </c>
      <c r="K180" s="54"/>
      <c r="L180" s="54"/>
      <c r="M180" s="54"/>
    </row>
    <row r="181" spans="1:13" x14ac:dyDescent="0.2">
      <c r="A181" s="8"/>
      <c r="B181" s="85" t="s">
        <v>154</v>
      </c>
      <c r="C181" s="3">
        <f>((+$Q$160*C147*1000)/C57)</f>
        <v>22.215608507720773</v>
      </c>
      <c r="D181" s="3">
        <f>((+$Q$160*D147*1000)/D57)</f>
        <v>13.566296353515465</v>
      </c>
      <c r="E181" s="3">
        <f>(+$Q$160*E147*1000)/SUMPRODUCT(E45:E56,E27:E38)</f>
        <v>53.813752752317491</v>
      </c>
      <c r="F181" s="3">
        <f>((+$Q$160*F147*1000)/F57)</f>
        <v>0</v>
      </c>
      <c r="G181" s="3">
        <f>((+$Q$160*G147*1000)/G57)</f>
        <v>0</v>
      </c>
      <c r="H181" s="3">
        <f>((+$Q$160*H147*1000)/H57)</f>
        <v>16.028032884488244</v>
      </c>
      <c r="I181" s="3">
        <f>((+$Q$160*I147*1000)/I57)</f>
        <v>0</v>
      </c>
      <c r="J181" s="3">
        <f>((+$Q$160*J147*1000)/J57)</f>
        <v>0</v>
      </c>
      <c r="K181" s="54"/>
      <c r="L181" s="54"/>
      <c r="M181" s="54"/>
    </row>
    <row r="182" spans="1:13" x14ac:dyDescent="0.2">
      <c r="A182" s="12"/>
      <c r="B182" s="28" t="s">
        <v>155</v>
      </c>
      <c r="C182" s="155">
        <f>(C147*$F$158*$E$152)/SUM(C50:C53)</f>
        <v>16.911417282600993</v>
      </c>
      <c r="D182" s="155">
        <f>(D147*$F$158*$E$152)/SUM(D50:D53)</f>
        <v>19.126240306978897</v>
      </c>
      <c r="E182" s="155">
        <f>(E147*$F$158*$E$152)/SUMPRODUCT(E50:E53,E32:E35)</f>
        <v>37.912083915697671</v>
      </c>
      <c r="F182" s="155">
        <f>(F147*$F$158*$E$152)/SUM(F50:F53)</f>
        <v>0</v>
      </c>
      <c r="G182" s="155">
        <f>(G147*$F$158*$E$152)/SUM(G50:G53)</f>
        <v>0</v>
      </c>
      <c r="H182" s="155">
        <f>(H147*$F$158*$E$152)/SUM(H50:H53)</f>
        <v>24.381284902522523</v>
      </c>
      <c r="I182" s="155">
        <f>(I147*$F$158*$E$152)/SUM(I50:I53)</f>
        <v>0</v>
      </c>
      <c r="J182" s="155">
        <f>(J147*$F$158*$E$152)/SUM(J50:J53)</f>
        <v>0</v>
      </c>
      <c r="K182" s="54"/>
      <c r="L182" s="54"/>
      <c r="M182" s="54"/>
    </row>
    <row r="183" spans="1:13" x14ac:dyDescent="0.2">
      <c r="A183" s="12"/>
      <c r="B183" s="28" t="s">
        <v>156</v>
      </c>
      <c r="C183" s="54">
        <f>(C147*$F$159*$E$153)/SUM(C45:C49,C54:C56)</f>
        <v>26.367677965715348</v>
      </c>
      <c r="D183" s="54">
        <f>(D147*$F$159*$E$153)/SUM(D45:D49,D54:D56)</f>
        <v>11.838505248742416</v>
      </c>
      <c r="E183" s="54">
        <f>(E147*$F$159*$E$153)/(SUMPRODUCT(E45:E49,E27:E31)+SUMPRODUCT(E54:E56,E36:E38))</f>
        <v>68.168784407303136</v>
      </c>
      <c r="F183" s="54">
        <f>(F147*$F$159*$E$153)/SUM(F45:F49,F54:F56)</f>
        <v>0</v>
      </c>
      <c r="G183" s="54">
        <f>(G147*$F$159*$E$153)/SUM(G45:G49,G54:G56)</f>
        <v>0</v>
      </c>
      <c r="H183" s="54">
        <f>(H147*$F$159*$E$153)/SUM(H45:H49,H54:H56)</f>
        <v>13.675684576179814</v>
      </c>
      <c r="I183" s="54">
        <f>(I147*$F$159*$E$153)/SUM(I45:I49,I54:I56)</f>
        <v>0</v>
      </c>
      <c r="J183" s="54">
        <f>(J147*$F$159*$E$153)/SUM(J45:J49,J54:J56)</f>
        <v>0</v>
      </c>
      <c r="K183" s="54"/>
      <c r="L183" s="54"/>
      <c r="M183" s="54"/>
    </row>
    <row r="184" spans="1:13" x14ac:dyDescent="0.2">
      <c r="A184" s="12"/>
      <c r="E184" s="55" t="s">
        <v>157</v>
      </c>
      <c r="F184" s="54"/>
      <c r="G184" s="54"/>
      <c r="H184" s="54"/>
      <c r="K184" s="54"/>
      <c r="L184" s="54"/>
      <c r="M184" s="54"/>
    </row>
    <row r="185" spans="1:13" x14ac:dyDescent="0.2">
      <c r="A185" s="12"/>
      <c r="E185" s="55" t="s">
        <v>158</v>
      </c>
      <c r="F185" s="54"/>
      <c r="G185" s="54"/>
      <c r="H185" s="54"/>
      <c r="K185" s="54"/>
      <c r="L185" s="54"/>
      <c r="M185" s="54"/>
    </row>
    <row r="186" spans="1:13" x14ac:dyDescent="0.2">
      <c r="A186" s="12"/>
    </row>
    <row r="187" spans="1:13" x14ac:dyDescent="0.2">
      <c r="A187" s="8" t="s">
        <v>73</v>
      </c>
      <c r="B187" s="6" t="s">
        <v>135</v>
      </c>
    </row>
    <row r="188" spans="1:13" x14ac:dyDescent="0.2">
      <c r="A188" s="12"/>
      <c r="B188" s="6"/>
      <c r="K188" s="132"/>
    </row>
    <row r="189" spans="1:13" x14ac:dyDescent="0.2">
      <c r="A189" s="12"/>
      <c r="B189" s="6" t="s">
        <v>41</v>
      </c>
    </row>
    <row r="190" spans="1:13" x14ac:dyDescent="0.2">
      <c r="A190" s="12"/>
      <c r="B190" s="7" t="s">
        <v>88</v>
      </c>
    </row>
    <row r="191" spans="1:13" x14ac:dyDescent="0.2">
      <c r="A191" s="12"/>
      <c r="B191" s="7" t="s">
        <v>40</v>
      </c>
    </row>
    <row r="192" spans="1:13" x14ac:dyDescent="0.2">
      <c r="A192" s="12"/>
      <c r="C192" s="18" t="str">
        <f t="shared" ref="C192:J192" si="61">+C7</f>
        <v>RS</v>
      </c>
      <c r="D192" s="18" t="str">
        <f t="shared" si="61"/>
        <v>RHS</v>
      </c>
      <c r="E192" s="18" t="str">
        <f t="shared" si="61"/>
        <v>RLM</v>
      </c>
      <c r="F192" s="18" t="str">
        <f t="shared" si="61"/>
        <v>WH</v>
      </c>
      <c r="G192" s="18" t="str">
        <f t="shared" si="61"/>
        <v>WHS</v>
      </c>
      <c r="H192" s="18" t="str">
        <f t="shared" si="61"/>
        <v>HS</v>
      </c>
      <c r="I192" s="18" t="str">
        <f t="shared" si="61"/>
        <v>PSAL</v>
      </c>
      <c r="J192" s="18" t="str">
        <f t="shared" si="61"/>
        <v>BPL</v>
      </c>
    </row>
    <row r="193" spans="1:11" x14ac:dyDescent="0.2">
      <c r="A193" s="12"/>
      <c r="C193" s="18"/>
      <c r="D193" s="18"/>
      <c r="E193" s="3"/>
      <c r="F193" s="18"/>
      <c r="G193" s="18"/>
    </row>
    <row r="194" spans="1:11" x14ac:dyDescent="0.2">
      <c r="A194" s="12"/>
      <c r="B194" s="19" t="s">
        <v>23</v>
      </c>
      <c r="C194" s="3">
        <f>+C130+($D$171*C80)+C$178+C181</f>
        <v>89.94674705591612</v>
      </c>
      <c r="D194" s="3">
        <f>+D130+($D$171*D80)+D$178+D181</f>
        <v>70.55266400435579</v>
      </c>
      <c r="E194" s="3"/>
      <c r="F194" s="3">
        <f>+F130+($D$171*F80)+F$178+F181</f>
        <v>38.679906446056933</v>
      </c>
      <c r="G194" s="3">
        <f>+G130+($D$171*G80)+G$178+G181</f>
        <v>38.438551121122707</v>
      </c>
      <c r="H194" s="3">
        <f>+H130+($D$171*H80)+H$178+H181</f>
        <v>77.869190005319837</v>
      </c>
      <c r="I194" s="3">
        <f>+I130+($D$171*I80)+I$178+I181</f>
        <v>34.740375108960677</v>
      </c>
      <c r="J194" s="3">
        <f>+J130+($D$171*J80)+J$178+J181</f>
        <v>34.67504398265929</v>
      </c>
      <c r="K194" s="3"/>
    </row>
    <row r="195" spans="1:11" x14ac:dyDescent="0.2">
      <c r="A195" s="12"/>
      <c r="B195" s="39" t="s">
        <v>84</v>
      </c>
      <c r="C195" s="3"/>
      <c r="D195" s="3"/>
      <c r="E195" s="3">
        <f>+E131+($D$171*E80)+E$178+E181</f>
        <v>170.49011230940374</v>
      </c>
      <c r="F195" s="3"/>
      <c r="G195" s="3"/>
      <c r="H195" s="3"/>
      <c r="I195" s="3"/>
      <c r="J195" s="3"/>
    </row>
    <row r="196" spans="1:11" x14ac:dyDescent="0.2">
      <c r="A196" s="12"/>
      <c r="B196" s="39" t="s">
        <v>85</v>
      </c>
      <c r="C196" s="3"/>
      <c r="D196" s="3"/>
      <c r="E196" s="3">
        <f>+E132+($D$171*E80)</f>
        <v>32.682253802009811</v>
      </c>
      <c r="F196" s="3"/>
      <c r="G196" s="3"/>
      <c r="H196" s="3"/>
      <c r="I196" s="3"/>
      <c r="J196" s="3"/>
    </row>
    <row r="197" spans="1:11" x14ac:dyDescent="0.2">
      <c r="A197" s="12"/>
      <c r="B197" s="85" t="s">
        <v>161</v>
      </c>
      <c r="C197" s="3">
        <f>(C194*SUM(C50:C53)-C166*10*C164*SUM(C50:C53))/SUM(C50:C53)</f>
        <v>86.892591055916114</v>
      </c>
      <c r="D197" s="3">
        <f>(D194*SUM(D50:D53)-D166*10*D164*SUM(D50:D53))/SUM(D50:D53)</f>
        <v>66.306841004355789</v>
      </c>
      <c r="E197" s="3"/>
      <c r="F197" s="3"/>
      <c r="G197" s="3"/>
      <c r="H197" s="3"/>
      <c r="I197" s="3"/>
      <c r="J197" s="3"/>
    </row>
    <row r="198" spans="1:11" x14ac:dyDescent="0.2">
      <c r="A198" s="12"/>
      <c r="B198" s="85" t="s">
        <v>160</v>
      </c>
      <c r="C198" s="3">
        <f>+C197+C166*10</f>
        <v>95.544591055916115</v>
      </c>
      <c r="D198" s="3">
        <f>+D197+D166*10</f>
        <v>77.875841004355792</v>
      </c>
      <c r="E198" s="3"/>
      <c r="F198" s="3"/>
      <c r="G198" s="3"/>
      <c r="H198" s="3"/>
      <c r="I198" s="3"/>
      <c r="J198" s="3"/>
    </row>
    <row r="199" spans="1:11" x14ac:dyDescent="0.2">
      <c r="A199" s="12"/>
      <c r="C199" s="3"/>
      <c r="D199" s="3"/>
      <c r="E199" s="3"/>
      <c r="F199" s="3"/>
      <c r="G199" s="3"/>
      <c r="H199" s="3"/>
      <c r="I199" s="3"/>
      <c r="J199" s="3"/>
    </row>
    <row r="200" spans="1:11" x14ac:dyDescent="0.2">
      <c r="A200" s="12"/>
      <c r="B200" s="19" t="s">
        <v>24</v>
      </c>
      <c r="C200" s="3">
        <f>+C134+($D$171*C80)+C$178+C181</f>
        <v>94.989339427678487</v>
      </c>
      <c r="D200" s="3">
        <f>+D134+($D$171*D80)+D$178+D181</f>
        <v>76.871972680115533</v>
      </c>
      <c r="E200" s="3"/>
      <c r="F200" s="3">
        <f>+F134+($D$171*F80)+F$178+F181</f>
        <v>44.085308699407705</v>
      </c>
      <c r="G200" s="3">
        <f>+G134+($D$171*G80)+G$178+G181</f>
        <v>44.295461838419982</v>
      </c>
      <c r="H200" s="3">
        <f>+H134+($D$171*H80)+H$178+H181</f>
        <v>82.958057203638774</v>
      </c>
      <c r="I200" s="3">
        <f>+I134+($D$171*I80)+I$178+I181</f>
        <v>42.17873888173159</v>
      </c>
      <c r="J200" s="3">
        <f>+J134+($D$171*J80)+J$178+J181</f>
        <v>42.18944417132343</v>
      </c>
      <c r="K200" s="3"/>
    </row>
    <row r="201" spans="1:11" x14ac:dyDescent="0.2">
      <c r="A201" s="12"/>
      <c r="B201" s="39" t="s">
        <v>84</v>
      </c>
      <c r="C201" s="3"/>
      <c r="D201" s="3"/>
      <c r="E201" s="3">
        <f>+E135+($D$171*E80)+E$178+E181</f>
        <v>173.88027396311946</v>
      </c>
      <c r="F201" s="3"/>
      <c r="G201" s="3"/>
      <c r="H201" s="3"/>
      <c r="I201" s="3"/>
      <c r="J201" s="3"/>
    </row>
    <row r="202" spans="1:11" x14ac:dyDescent="0.2">
      <c r="A202" s="12"/>
      <c r="B202" s="39" t="s">
        <v>85</v>
      </c>
      <c r="C202" s="3"/>
      <c r="D202" s="3"/>
      <c r="E202" s="3">
        <f>+E136+($D$171*E80)</f>
        <v>40.054571700619974</v>
      </c>
      <c r="F202" s="3"/>
      <c r="G202" s="3"/>
      <c r="H202" s="3"/>
      <c r="I202" s="3"/>
      <c r="J202" s="3"/>
    </row>
    <row r="203" spans="1:11" x14ac:dyDescent="0.2">
      <c r="A203" s="12"/>
      <c r="C203" s="3"/>
      <c r="D203" s="3"/>
      <c r="E203" s="3"/>
      <c r="F203" s="3"/>
      <c r="G203" s="3"/>
      <c r="H203" s="3"/>
      <c r="I203" s="3"/>
      <c r="J203" s="3"/>
    </row>
    <row r="204" spans="1:11" x14ac:dyDescent="0.2">
      <c r="A204" s="12"/>
      <c r="B204" s="1" t="s">
        <v>112</v>
      </c>
      <c r="C204" s="3">
        <f>+C138+($D$171*C80)+C$178+C181</f>
        <v>92.775230227696554</v>
      </c>
      <c r="D204" s="3">
        <f>+D138+($D$171*D80)+D$178+D181</f>
        <v>75.373778079043561</v>
      </c>
      <c r="E204" s="3">
        <f>((E195*SUMPRODUCT(E32:E35,E50:E53)+E196*SUMPRODUCT(Q32:Q35,E50:E53))+(E201*(SUMPRODUCT(E27:E31,E45:E49)+SUMPRODUCT(E36:E38,E54:E56))+E202*(SUMPRODUCT(Q27:Q31,E45:E49)+SUMPRODUCT(Q36:Q38,E54:E56))))/E57</f>
        <v>98.477573703861665</v>
      </c>
      <c r="F204" s="3">
        <f>+F138+($D$171*F80)+F$178+F181</f>
        <v>42.570776181251873</v>
      </c>
      <c r="G204" s="3">
        <f>+G138+($D$171*G80)+G$178+G181</f>
        <v>42.754169544394372</v>
      </c>
      <c r="H204" s="3">
        <f>+H138+($D$171*H80)+H$178+H181</f>
        <v>81.839877206229772</v>
      </c>
      <c r="I204" s="3">
        <f>+I138+($D$171*I80)+I$178+I181</f>
        <v>40.122459517079562</v>
      </c>
      <c r="J204" s="3">
        <f>+J138+($D$171*J80)+J$178+J181</f>
        <v>40.185622794927532</v>
      </c>
      <c r="K204" s="3"/>
    </row>
    <row r="205" spans="1:11" x14ac:dyDescent="0.2">
      <c r="A205" s="12"/>
      <c r="C205" s="3"/>
      <c r="D205" s="3"/>
      <c r="E205" s="3"/>
      <c r="F205" s="3"/>
      <c r="G205" s="3"/>
      <c r="H205" s="3"/>
      <c r="I205" s="3"/>
      <c r="J205" s="3"/>
      <c r="K205" s="3"/>
    </row>
    <row r="206" spans="1:11" x14ac:dyDescent="0.2">
      <c r="A206" s="12"/>
      <c r="B206" s="6" t="s">
        <v>32</v>
      </c>
    </row>
    <row r="207" spans="1:11" x14ac:dyDescent="0.2">
      <c r="A207" s="12"/>
      <c r="B207" s="7" t="s">
        <v>89</v>
      </c>
    </row>
    <row r="208" spans="1:11" x14ac:dyDescent="0.2">
      <c r="A208" s="12"/>
      <c r="B208" s="7" t="s">
        <v>40</v>
      </c>
    </row>
    <row r="209" spans="1:15" x14ac:dyDescent="0.2">
      <c r="A209" s="12"/>
      <c r="C209" s="18" t="str">
        <f>+K7</f>
        <v>GLP</v>
      </c>
      <c r="D209" s="18" t="str">
        <f>+L7</f>
        <v>LPL-S</v>
      </c>
      <c r="E209" s="18"/>
      <c r="H209" s="6" t="s">
        <v>31</v>
      </c>
      <c r="I209" s="18" t="str">
        <f>+C209</f>
        <v>GLP</v>
      </c>
      <c r="J209" s="18" t="str">
        <f>+D209</f>
        <v>LPL-S</v>
      </c>
    </row>
    <row r="210" spans="1:15" x14ac:dyDescent="0.2">
      <c r="A210" s="12"/>
      <c r="C210" s="18"/>
      <c r="D210" s="18"/>
      <c r="F210" s="6"/>
    </row>
    <row r="211" spans="1:15" x14ac:dyDescent="0.2">
      <c r="A211" s="12"/>
      <c r="B211" s="19" t="s">
        <v>23</v>
      </c>
      <c r="C211" s="3">
        <f>+K130+($D$171*K80)</f>
        <v>40.522993286056966</v>
      </c>
      <c r="D211" s="3">
        <f>+L130+($D$171*L$80)</f>
        <v>40.086023331477115</v>
      </c>
      <c r="E211" s="84"/>
      <c r="H211" s="56" t="s">
        <v>28</v>
      </c>
    </row>
    <row r="212" spans="1:15" x14ac:dyDescent="0.2">
      <c r="A212" s="12"/>
      <c r="B212" s="39" t="s">
        <v>84</v>
      </c>
      <c r="C212" s="3"/>
      <c r="D212" s="3">
        <f>+L131+($D$171*L$80)</f>
        <v>47.202009562548696</v>
      </c>
      <c r="H212" s="28" t="s">
        <v>47</v>
      </c>
      <c r="I212" s="104">
        <f>+$F158*$E152/$H152/1000</f>
        <v>5.1769257932930657</v>
      </c>
      <c r="J212" s="104">
        <f>+$F158*$E152/$H152/1000</f>
        <v>5.1769257932930657</v>
      </c>
      <c r="K212" s="53" t="s">
        <v>51</v>
      </c>
      <c r="O212" s="108"/>
    </row>
    <row r="213" spans="1:15" x14ac:dyDescent="0.2">
      <c r="A213" s="12"/>
      <c r="B213" s="39" t="s">
        <v>85</v>
      </c>
      <c r="C213" s="3"/>
      <c r="D213" s="3">
        <f>+L132+($D$171*L$80)</f>
        <v>32.687426106390944</v>
      </c>
      <c r="H213" s="28" t="s">
        <v>48</v>
      </c>
      <c r="I213" s="104">
        <f>+$F159*$E153/$H153/1000</f>
        <v>5.1557088843041603</v>
      </c>
      <c r="J213" s="104">
        <f>+$F159*$E153/$H153/1000</f>
        <v>5.1557088843041603</v>
      </c>
      <c r="K213" s="53" t="s">
        <v>51</v>
      </c>
    </row>
    <row r="214" spans="1:15" x14ac:dyDescent="0.2">
      <c r="A214" s="12"/>
      <c r="C214" s="3"/>
      <c r="D214" s="3"/>
      <c r="H214" s="28" t="s">
        <v>296</v>
      </c>
      <c r="I214" s="104">
        <f>($F$158*$E$152+$F$159*$E$153)/$H$154/1000</f>
        <v>5.1627811873004621</v>
      </c>
      <c r="J214" s="104">
        <f>($F$158*$E$152+$F$159*$E$153)/$H$154/1000</f>
        <v>5.1627811873004621</v>
      </c>
      <c r="K214" s="53" t="s">
        <v>51</v>
      </c>
    </row>
    <row r="215" spans="1:15" x14ac:dyDescent="0.2">
      <c r="A215" s="12"/>
      <c r="B215" s="19" t="s">
        <v>24</v>
      </c>
      <c r="C215" s="3">
        <f>+K134+($D$171*K80)</f>
        <v>45.080467130538153</v>
      </c>
      <c r="D215" s="3">
        <f>+L134+($D$171*L$80)</f>
        <v>44.790712647152574</v>
      </c>
    </row>
    <row r="216" spans="1:15" x14ac:dyDescent="0.2">
      <c r="A216" s="12"/>
      <c r="B216" s="39" t="s">
        <v>84</v>
      </c>
      <c r="C216" s="3"/>
      <c r="D216" s="3">
        <f>+L135+($D$171*L$80)</f>
        <v>50.023194767983739</v>
      </c>
      <c r="H216" s="56" t="s">
        <v>29</v>
      </c>
      <c r="I216" s="58"/>
      <c r="J216" s="58"/>
      <c r="K216" s="53"/>
    </row>
    <row r="217" spans="1:15" x14ac:dyDescent="0.2">
      <c r="A217" s="12"/>
      <c r="B217" s="39" t="s">
        <v>85</v>
      </c>
      <c r="C217" s="3"/>
      <c r="D217" s="3">
        <f>+L136+($D$171*L$80)</f>
        <v>39.671006700998234</v>
      </c>
      <c r="H217" s="28" t="s">
        <v>49</v>
      </c>
      <c r="I217" s="104">
        <f>+$D155/1000/12</f>
        <v>7.6465116666666662</v>
      </c>
      <c r="J217" s="104">
        <f>+$D155/1000/12</f>
        <v>7.6465116666666662</v>
      </c>
      <c r="K217" s="53" t="s">
        <v>52</v>
      </c>
    </row>
    <row r="218" spans="1:15" x14ac:dyDescent="0.2">
      <c r="A218" s="12"/>
      <c r="B218" s="39"/>
      <c r="C218" s="3"/>
      <c r="D218" s="3"/>
    </row>
    <row r="219" spans="1:15" x14ac:dyDescent="0.2">
      <c r="A219" s="12"/>
      <c r="B219" s="1" t="s">
        <v>114</v>
      </c>
      <c r="C219" s="3">
        <f>+K138+($D$171*K80)</f>
        <v>43.378557112197655</v>
      </c>
      <c r="D219" s="3">
        <f>+L138+($D$171*L$80)</f>
        <v>43.103407588505533</v>
      </c>
    </row>
    <row r="220" spans="1:15" x14ac:dyDescent="0.2">
      <c r="A220" s="12"/>
      <c r="C220" s="3"/>
      <c r="D220" s="3"/>
    </row>
    <row r="221" spans="1:15" x14ac:dyDescent="0.2">
      <c r="A221" s="12"/>
      <c r="B221" s="57" t="s">
        <v>119</v>
      </c>
      <c r="C221" s="3"/>
      <c r="D221" s="3"/>
    </row>
    <row r="222" spans="1:15" x14ac:dyDescent="0.2">
      <c r="A222" s="12"/>
      <c r="B222" s="19" t="s">
        <v>23</v>
      </c>
      <c r="C222" s="3">
        <f>(C211*W49+((I214*$H152)*K147*1000)+(I217*$H152*K149*1000))/W49</f>
        <v>80.809981782832907</v>
      </c>
      <c r="D222" s="3">
        <f>(D211*X49+((J214*$H152)*L147*1000)+(J217*$H152*L149*1000))/X49</f>
        <v>68.331942729505215</v>
      </c>
      <c r="F222" s="1" t="s">
        <v>122</v>
      </c>
    </row>
    <row r="223" spans="1:15" x14ac:dyDescent="0.2">
      <c r="A223" s="12"/>
      <c r="B223" s="39" t="s">
        <v>84</v>
      </c>
      <c r="C223" s="3"/>
      <c r="D223" s="3">
        <f>(D212*X50+((J214*$H152)*L147*1000)+(J217*$H152*L149*1000))/X50</f>
        <v>102.61491310708637</v>
      </c>
    </row>
    <row r="224" spans="1:15" x14ac:dyDescent="0.2">
      <c r="A224" s="12"/>
      <c r="B224" s="39" t="s">
        <v>85</v>
      </c>
      <c r="C224" s="3"/>
      <c r="D224" s="3">
        <f>+D213</f>
        <v>32.687426106390944</v>
      </c>
    </row>
    <row r="225" spans="1:7" x14ac:dyDescent="0.2">
      <c r="A225" s="12"/>
      <c r="C225" s="3"/>
      <c r="D225" s="3"/>
    </row>
    <row r="226" spans="1:7" x14ac:dyDescent="0.2">
      <c r="A226" s="12"/>
      <c r="B226" s="19" t="s">
        <v>24</v>
      </c>
      <c r="C226" s="3">
        <f>(C215*W45+((I214*$H153)*K147*1000)+(I217*$H153*K149*1000))/W45</f>
        <v>93.102387497905653</v>
      </c>
      <c r="D226" s="3">
        <f>(D215*X45+((J214*$H153)*L147*1000)+(J217*$H153*L149*1000))/X45</f>
        <v>76.38064526870437</v>
      </c>
    </row>
    <row r="227" spans="1:7" x14ac:dyDescent="0.2">
      <c r="A227" s="12"/>
      <c r="B227" s="39" t="s">
        <v>84</v>
      </c>
      <c r="C227" s="3"/>
      <c r="D227" s="3">
        <f>(D216*X46+((J214*$H153)*L147*1000)+(J217*$H153*L149*1000))/X46</f>
        <v>113.89891867891436</v>
      </c>
    </row>
    <row r="228" spans="1:7" x14ac:dyDescent="0.2">
      <c r="A228" s="12"/>
      <c r="B228" s="39" t="s">
        <v>85</v>
      </c>
      <c r="C228" s="3"/>
      <c r="D228" s="3">
        <f>+D217</f>
        <v>39.671006700998234</v>
      </c>
    </row>
    <row r="229" spans="1:7" x14ac:dyDescent="0.2">
      <c r="A229" s="12"/>
      <c r="B229" s="39"/>
      <c r="C229" s="3"/>
      <c r="D229" s="3"/>
    </row>
    <row r="230" spans="1:7" x14ac:dyDescent="0.2">
      <c r="A230" s="12"/>
      <c r="B230" s="1" t="s">
        <v>109</v>
      </c>
      <c r="C230" s="3">
        <f>(C219*K57+((I214*$H152+I214*$H153)*K147*1000)+(I217*$H154*K149*1000))/K57</f>
        <v>88.512000553321911</v>
      </c>
      <c r="D230" s="3">
        <f>(D219*L57+((J214*$H152+J214*$H153)*L147*1000)+(J217*$H154*L149*1000))/L57</f>
        <v>73.494032445050536</v>
      </c>
    </row>
    <row r="231" spans="1:7" x14ac:dyDescent="0.2">
      <c r="A231" s="12"/>
      <c r="C231" s="43"/>
      <c r="D231" s="43"/>
    </row>
    <row r="232" spans="1:7" x14ac:dyDescent="0.2">
      <c r="A232" s="12"/>
      <c r="B232" s="6" t="s">
        <v>108</v>
      </c>
      <c r="C232" s="3"/>
      <c r="D232" s="3"/>
    </row>
    <row r="233" spans="1:7" x14ac:dyDescent="0.2">
      <c r="A233" s="12"/>
      <c r="B233" s="28" t="s">
        <v>59</v>
      </c>
      <c r="C233" s="47">
        <f>(+SUMPRODUCT(C204:J204,C57:J57)+SUMPRODUCT(C230:D230,K57:L57))/1000</f>
        <v>2091290.3361321606</v>
      </c>
      <c r="G233" s="2"/>
    </row>
    <row r="234" spans="1:7" x14ac:dyDescent="0.2">
      <c r="A234" s="12"/>
      <c r="C234" s="28" t="s">
        <v>141</v>
      </c>
      <c r="D234" s="54">
        <f>+C233/SUM(C57:L57)*1000</f>
        <v>86.85442009398227</v>
      </c>
      <c r="E234" s="1" t="s">
        <v>44</v>
      </c>
    </row>
    <row r="235" spans="1:7" x14ac:dyDescent="0.2">
      <c r="A235" s="12"/>
      <c r="C235" s="28" t="s">
        <v>282</v>
      </c>
      <c r="D235" s="54">
        <f>+C233/SUMPRODUCT(C57:L57,C85:L85)*1000</f>
        <v>80.811648282044132</v>
      </c>
      <c r="E235" s="1" t="s">
        <v>267</v>
      </c>
    </row>
    <row r="236" spans="1:7" x14ac:dyDescent="0.2">
      <c r="A236" s="12"/>
    </row>
    <row r="237" spans="1:7" x14ac:dyDescent="0.2">
      <c r="A237" s="12"/>
      <c r="E237" s="58"/>
    </row>
    <row r="238" spans="1:7" x14ac:dyDescent="0.2">
      <c r="A238" s="8" t="s">
        <v>92</v>
      </c>
      <c r="B238" s="6" t="s">
        <v>268</v>
      </c>
    </row>
    <row r="239" spans="1:7" x14ac:dyDescent="0.2">
      <c r="A239" s="12"/>
      <c r="B239" s="6"/>
    </row>
    <row r="240" spans="1:7" x14ac:dyDescent="0.2">
      <c r="A240" s="12"/>
      <c r="B240" s="6" t="s">
        <v>41</v>
      </c>
    </row>
    <row r="241" spans="1:13" x14ac:dyDescent="0.2">
      <c r="A241" s="12"/>
      <c r="B241" s="7" t="s">
        <v>88</v>
      </c>
    </row>
    <row r="242" spans="1:13" x14ac:dyDescent="0.2">
      <c r="A242" s="12"/>
      <c r="B242" s="6"/>
    </row>
    <row r="243" spans="1:13" x14ac:dyDescent="0.2">
      <c r="A243" s="12"/>
      <c r="C243" s="18" t="str">
        <f t="shared" ref="C243:J243" si="62">+C7</f>
        <v>RS</v>
      </c>
      <c r="D243" s="18" t="str">
        <f t="shared" si="62"/>
        <v>RHS</v>
      </c>
      <c r="E243" s="18" t="str">
        <f t="shared" si="62"/>
        <v>RLM</v>
      </c>
      <c r="F243" s="18" t="str">
        <f t="shared" si="62"/>
        <v>WH</v>
      </c>
      <c r="G243" s="18" t="str">
        <f t="shared" si="62"/>
        <v>WHS</v>
      </c>
      <c r="H243" s="18" t="str">
        <f t="shared" si="62"/>
        <v>HS</v>
      </c>
      <c r="I243" s="18" t="str">
        <f t="shared" si="62"/>
        <v>PSAL</v>
      </c>
      <c r="J243" s="18" t="str">
        <f t="shared" si="62"/>
        <v>BPL</v>
      </c>
    </row>
    <row r="244" spans="1:13" x14ac:dyDescent="0.2">
      <c r="A244" s="12"/>
      <c r="C244" s="18"/>
      <c r="D244" s="18"/>
      <c r="E244" s="18"/>
      <c r="F244" s="18"/>
      <c r="G244" s="18"/>
    </row>
    <row r="245" spans="1:13" x14ac:dyDescent="0.2">
      <c r="A245" s="12"/>
      <c r="B245" s="19" t="s">
        <v>23</v>
      </c>
      <c r="E245" s="73"/>
      <c r="F245" s="72">
        <f>ROUND(+F194/$D$235,3)</f>
        <v>0.47899999999999998</v>
      </c>
      <c r="G245" s="72">
        <f>ROUND(+G194/$D$235,3)</f>
        <v>0.47599999999999998</v>
      </c>
      <c r="H245" s="72">
        <f>ROUND(+H194/$D$235,3)</f>
        <v>0.96399999999999997</v>
      </c>
      <c r="I245" s="73">
        <f>ROUND(+I194/$D$235,3)</f>
        <v>0.43</v>
      </c>
      <c r="J245" s="73">
        <f>ROUND(+J194/$D$235,3)</f>
        <v>0.42899999999999999</v>
      </c>
      <c r="K245" s="61"/>
      <c r="L245" s="61"/>
      <c r="M245" s="61"/>
    </row>
    <row r="246" spans="1:13" x14ac:dyDescent="0.2">
      <c r="A246" s="12"/>
      <c r="B246" s="39" t="s">
        <v>84</v>
      </c>
      <c r="C246" s="60"/>
      <c r="D246" s="59"/>
      <c r="E246" s="72">
        <f>ROUND(+E195/$D$235,3)</f>
        <v>2.11</v>
      </c>
      <c r="F246" s="73"/>
      <c r="G246" s="73"/>
      <c r="H246" s="73"/>
      <c r="I246" s="11"/>
      <c r="J246" s="62" t="s">
        <v>168</v>
      </c>
      <c r="K246" s="61"/>
      <c r="L246" s="61"/>
      <c r="M246" s="61"/>
    </row>
    <row r="247" spans="1:13" x14ac:dyDescent="0.2">
      <c r="A247" s="12"/>
      <c r="B247" s="39" t="s">
        <v>85</v>
      </c>
      <c r="C247" s="60"/>
      <c r="D247" s="59"/>
      <c r="E247" s="72">
        <f>ROUND(+E196/$D$235,3)</f>
        <v>0.40400000000000003</v>
      </c>
      <c r="F247" s="73"/>
      <c r="G247" s="73"/>
      <c r="H247" s="74"/>
      <c r="I247" s="11"/>
      <c r="J247" s="62" t="s">
        <v>169</v>
      </c>
      <c r="K247" s="75">
        <f>ROUND((I245*U49+J245*V49)/(U49+V49),3)</f>
        <v>0.42899999999999999</v>
      </c>
      <c r="L247" s="61"/>
      <c r="M247" s="61"/>
    </row>
    <row r="248" spans="1:13" x14ac:dyDescent="0.2">
      <c r="A248" s="12"/>
      <c r="E248" s="60"/>
      <c r="F248" s="59"/>
      <c r="G248" s="59"/>
      <c r="L248" s="61"/>
      <c r="M248" s="61"/>
    </row>
    <row r="249" spans="1:13" x14ac:dyDescent="0.2">
      <c r="A249" s="12"/>
      <c r="B249" s="63" t="s">
        <v>165</v>
      </c>
      <c r="C249" s="72">
        <f>ROUND(+C194/$D$235,3)</f>
        <v>1.113</v>
      </c>
      <c r="D249" s="72">
        <f>ROUND(+D194/$D$235,3)</f>
        <v>0.873</v>
      </c>
      <c r="E249" s="60"/>
      <c r="F249" s="59"/>
      <c r="G249" s="59"/>
      <c r="H249" s="59"/>
      <c r="I249" s="59"/>
      <c r="J249" s="59"/>
      <c r="K249" s="61"/>
      <c r="L249" s="61"/>
      <c r="M249" s="61"/>
    </row>
    <row r="250" spans="1:13" x14ac:dyDescent="0.2">
      <c r="A250" s="8"/>
      <c r="B250" s="63" t="s">
        <v>173</v>
      </c>
      <c r="C250" s="92">
        <f>ROUND(+C197-C194,3)</f>
        <v>-3.0539999999999998</v>
      </c>
      <c r="D250" s="92">
        <f>ROUND(D197-D194,3)</f>
        <v>-4.2460000000000004</v>
      </c>
      <c r="E250" s="90" t="s">
        <v>166</v>
      </c>
      <c r="F250" s="59"/>
      <c r="G250" s="59"/>
      <c r="H250" s="59"/>
      <c r="I250" s="59"/>
      <c r="J250" s="59"/>
      <c r="K250" s="61"/>
      <c r="L250" s="61"/>
      <c r="M250" s="61"/>
    </row>
    <row r="251" spans="1:13" x14ac:dyDescent="0.2">
      <c r="A251" s="8"/>
      <c r="B251" s="63" t="s">
        <v>173</v>
      </c>
      <c r="C251" s="92">
        <f>ROUND(+C198-C194,3)</f>
        <v>5.5979999999999999</v>
      </c>
      <c r="D251" s="92">
        <f>ROUND(D198-D194,3)</f>
        <v>7.3230000000000004</v>
      </c>
      <c r="E251" s="90" t="s">
        <v>167</v>
      </c>
      <c r="F251" s="59"/>
      <c r="G251" s="59"/>
      <c r="H251" s="59"/>
      <c r="I251" s="59"/>
      <c r="J251" s="59"/>
      <c r="K251" s="61"/>
      <c r="L251" s="61"/>
      <c r="M251" s="61"/>
    </row>
    <row r="252" spans="1:13" x14ac:dyDescent="0.2">
      <c r="A252" s="12"/>
      <c r="G252" s="59"/>
      <c r="H252" s="59"/>
      <c r="I252" s="59"/>
      <c r="J252" s="59"/>
      <c r="K252" s="61"/>
      <c r="L252" s="61"/>
      <c r="M252" s="61"/>
    </row>
    <row r="253" spans="1:13" x14ac:dyDescent="0.2">
      <c r="A253" s="12"/>
      <c r="H253" s="59"/>
      <c r="I253" s="59"/>
      <c r="J253" s="59"/>
      <c r="K253" s="61"/>
      <c r="L253" s="61"/>
      <c r="M253" s="61"/>
    </row>
    <row r="254" spans="1:13" x14ac:dyDescent="0.2">
      <c r="A254" s="12"/>
      <c r="C254" s="59"/>
      <c r="D254" s="59"/>
      <c r="E254" s="59"/>
      <c r="F254" s="59"/>
      <c r="G254" s="59"/>
      <c r="H254" s="59"/>
      <c r="I254" s="59"/>
      <c r="J254" s="59"/>
      <c r="K254" s="61"/>
      <c r="L254" s="61"/>
      <c r="M254" s="61"/>
    </row>
    <row r="255" spans="1:13" x14ac:dyDescent="0.2">
      <c r="A255" s="12"/>
      <c r="B255" s="19" t="s">
        <v>24</v>
      </c>
      <c r="C255" s="72">
        <f>ROUND(+C200/$D$235,3)</f>
        <v>1.175</v>
      </c>
      <c r="D255" s="72">
        <f>ROUND(+D200/$D$235,3)</f>
        <v>0.95099999999999996</v>
      </c>
      <c r="E255" s="73"/>
      <c r="F255" s="72">
        <f>ROUND(+F200/$D$235,3)</f>
        <v>0.54600000000000004</v>
      </c>
      <c r="G255" s="72">
        <f>ROUND(+G200/$D$235,3)</f>
        <v>0.54800000000000004</v>
      </c>
      <c r="H255" s="72">
        <f>ROUND(+H200/$D$235,3)</f>
        <v>1.0269999999999999</v>
      </c>
      <c r="I255" s="73">
        <f>ROUND(+I200/$D$235,3)</f>
        <v>0.52200000000000002</v>
      </c>
      <c r="J255" s="73">
        <f>ROUND(+J200/$D$235,3)</f>
        <v>0.52200000000000002</v>
      </c>
      <c r="K255" s="61"/>
      <c r="L255" s="61"/>
      <c r="M255" s="61"/>
    </row>
    <row r="256" spans="1:13" x14ac:dyDescent="0.2">
      <c r="A256" s="12"/>
      <c r="B256" s="39" t="s">
        <v>84</v>
      </c>
      <c r="C256" s="59"/>
      <c r="D256" s="59"/>
      <c r="E256" s="72">
        <f>ROUND(+E201/$D$235,3)</f>
        <v>2.1520000000000001</v>
      </c>
      <c r="F256" s="59"/>
      <c r="G256" s="59"/>
      <c r="H256" s="59"/>
      <c r="J256" s="62" t="s">
        <v>168</v>
      </c>
      <c r="K256" s="61"/>
      <c r="L256" s="61"/>
      <c r="M256" s="61"/>
    </row>
    <row r="257" spans="1:13" x14ac:dyDescent="0.2">
      <c r="A257" s="12"/>
      <c r="B257" s="39" t="s">
        <v>85</v>
      </c>
      <c r="C257" s="59"/>
      <c r="D257" s="59"/>
      <c r="E257" s="72">
        <f>ROUND(+E202/$D$235,3)</f>
        <v>0.496</v>
      </c>
      <c r="F257" s="59"/>
      <c r="G257" s="59"/>
      <c r="J257" s="62" t="s">
        <v>169</v>
      </c>
      <c r="K257" s="75">
        <f>ROUND((I255*U45+J255*V45)/(U45+V45),3)</f>
        <v>0.52200000000000002</v>
      </c>
      <c r="L257" s="61"/>
      <c r="M257" s="61"/>
    </row>
    <row r="258" spans="1:13" x14ac:dyDescent="0.2">
      <c r="A258" s="12"/>
      <c r="C258" s="64"/>
      <c r="D258" s="64"/>
      <c r="E258" s="64"/>
      <c r="F258" s="64"/>
      <c r="G258" s="64"/>
      <c r="K258" s="61"/>
      <c r="L258" s="61"/>
      <c r="M258" s="61"/>
    </row>
    <row r="259" spans="1:13" x14ac:dyDescent="0.2">
      <c r="A259" s="12"/>
      <c r="B259" s="1" t="s">
        <v>113</v>
      </c>
      <c r="C259" s="76">
        <f>ROUND(+C204/$D$235,3)</f>
        <v>1.1479999999999999</v>
      </c>
      <c r="D259" s="76">
        <f t="shared" ref="D259:J259" si="63">ROUND(+D204/$D$235,3)</f>
        <v>0.93300000000000005</v>
      </c>
      <c r="E259" s="76">
        <f t="shared" si="63"/>
        <v>1.2190000000000001</v>
      </c>
      <c r="F259" s="76">
        <f t="shared" si="63"/>
        <v>0.52700000000000002</v>
      </c>
      <c r="G259" s="76">
        <f t="shared" si="63"/>
        <v>0.52900000000000003</v>
      </c>
      <c r="H259" s="76">
        <f t="shared" si="63"/>
        <v>1.0129999999999999</v>
      </c>
      <c r="I259" s="76">
        <f t="shared" si="63"/>
        <v>0.496</v>
      </c>
      <c r="J259" s="76">
        <f t="shared" si="63"/>
        <v>0.497</v>
      </c>
      <c r="K259" s="61"/>
      <c r="L259" s="61"/>
      <c r="M259" s="61"/>
    </row>
    <row r="260" spans="1:13" x14ac:dyDescent="0.2">
      <c r="A260" s="12"/>
    </row>
    <row r="261" spans="1:13" x14ac:dyDescent="0.2">
      <c r="A261" s="12"/>
    </row>
    <row r="262" spans="1:13" x14ac:dyDescent="0.2">
      <c r="A262" s="12"/>
      <c r="B262" s="6" t="s">
        <v>32</v>
      </c>
    </row>
    <row r="263" spans="1:13" x14ac:dyDescent="0.2">
      <c r="A263" s="12"/>
      <c r="B263" s="7" t="s">
        <v>89</v>
      </c>
    </row>
    <row r="264" spans="1:13" x14ac:dyDescent="0.2">
      <c r="A264" s="12"/>
      <c r="B264" s="11"/>
    </row>
    <row r="265" spans="1:13" x14ac:dyDescent="0.2">
      <c r="A265" s="12"/>
      <c r="C265" s="18" t="str">
        <f>+K7</f>
        <v>GLP</v>
      </c>
      <c r="D265" s="18" t="str">
        <f>+C265</f>
        <v>GLP</v>
      </c>
      <c r="E265" s="18" t="str">
        <f>+L7</f>
        <v>LPL-S</v>
      </c>
      <c r="F265" s="18" t="str">
        <f>+E265</f>
        <v>LPL-S</v>
      </c>
      <c r="H265" s="6" t="s">
        <v>31</v>
      </c>
    </row>
    <row r="266" spans="1:13" ht="25.5" x14ac:dyDescent="0.2">
      <c r="A266" s="12"/>
      <c r="C266" s="18" t="s">
        <v>123</v>
      </c>
      <c r="D266" s="70" t="s">
        <v>173</v>
      </c>
      <c r="E266" s="18" t="s">
        <v>123</v>
      </c>
      <c r="F266" s="70" t="s">
        <v>173</v>
      </c>
    </row>
    <row r="267" spans="1:13" x14ac:dyDescent="0.2">
      <c r="A267" s="12"/>
      <c r="B267" s="19" t="s">
        <v>23</v>
      </c>
      <c r="C267" s="72">
        <f>ROUND(+C222/$D$235,3)</f>
        <v>1</v>
      </c>
      <c r="D267" s="75">
        <f>ROUND(+C211-C222,3)</f>
        <v>-40.286999999999999</v>
      </c>
      <c r="E267" s="74"/>
      <c r="F267" s="74"/>
      <c r="H267" s="56" t="s">
        <v>28</v>
      </c>
    </row>
    <row r="268" spans="1:13" x14ac:dyDescent="0.2">
      <c r="A268" s="12"/>
      <c r="B268" s="39" t="s">
        <v>84</v>
      </c>
      <c r="C268" s="73"/>
      <c r="D268" s="75"/>
      <c r="E268" s="72">
        <f>ROUND(D223/$D$235,3)</f>
        <v>1.27</v>
      </c>
      <c r="F268" s="75">
        <f>ROUND(+D212-D223,3)</f>
        <v>-55.412999999999997</v>
      </c>
      <c r="H268" s="28" t="s">
        <v>47</v>
      </c>
      <c r="I268" s="102">
        <f t="shared" ref="I268:J270" si="64">ROUND(+I212,4)</f>
        <v>5.1768999999999998</v>
      </c>
      <c r="J268" s="102">
        <f t="shared" si="64"/>
        <v>5.1768999999999998</v>
      </c>
      <c r="K268" s="53" t="s">
        <v>51</v>
      </c>
    </row>
    <row r="269" spans="1:13" x14ac:dyDescent="0.2">
      <c r="A269" s="12"/>
      <c r="B269" s="39" t="s">
        <v>85</v>
      </c>
      <c r="C269" s="73"/>
      <c r="D269" s="75"/>
      <c r="E269" s="72">
        <f>ROUND(D224/$D$235,3)</f>
        <v>0.40400000000000003</v>
      </c>
      <c r="F269" s="75">
        <f>ROUND(+D213-D224,3)</f>
        <v>0</v>
      </c>
      <c r="H269" s="28" t="s">
        <v>48</v>
      </c>
      <c r="I269" s="102">
        <f t="shared" si="64"/>
        <v>5.1557000000000004</v>
      </c>
      <c r="J269" s="102">
        <f t="shared" si="64"/>
        <v>5.1557000000000004</v>
      </c>
      <c r="K269" s="53" t="s">
        <v>51</v>
      </c>
    </row>
    <row r="270" spans="1:13" x14ac:dyDescent="0.2">
      <c r="A270" s="12"/>
      <c r="C270" s="73"/>
      <c r="D270" s="75"/>
      <c r="E270" s="73"/>
      <c r="F270" s="75"/>
      <c r="H270" s="28" t="s">
        <v>296</v>
      </c>
      <c r="I270" s="102">
        <f t="shared" si="64"/>
        <v>5.1627999999999998</v>
      </c>
      <c r="J270" s="102">
        <f t="shared" si="64"/>
        <v>5.1627999999999998</v>
      </c>
      <c r="K270" s="53" t="s">
        <v>51</v>
      </c>
    </row>
    <row r="271" spans="1:13" x14ac:dyDescent="0.2">
      <c r="A271" s="12"/>
      <c r="B271" s="19" t="s">
        <v>24</v>
      </c>
      <c r="C271" s="72">
        <f>ROUND(+C226/$D$235,3)</f>
        <v>1.1519999999999999</v>
      </c>
      <c r="D271" s="75">
        <f>ROUND(+C215-C226,3)</f>
        <v>-48.021999999999998</v>
      </c>
      <c r="E271" s="72"/>
      <c r="F271" s="75"/>
    </row>
    <row r="272" spans="1:13" x14ac:dyDescent="0.2">
      <c r="A272" s="12"/>
      <c r="B272" s="39" t="s">
        <v>84</v>
      </c>
      <c r="C272" s="73"/>
      <c r="D272" s="74"/>
      <c r="E272" s="72">
        <f>ROUND(D227/$D$235,3)</f>
        <v>1.409</v>
      </c>
      <c r="F272" s="75">
        <f>ROUND(+D216-D227,3)</f>
        <v>-63.875999999999998</v>
      </c>
      <c r="H272" s="56" t="s">
        <v>29</v>
      </c>
      <c r="I272" s="58"/>
      <c r="J272" s="58"/>
    </row>
    <row r="273" spans="1:11" x14ac:dyDescent="0.2">
      <c r="A273" s="12"/>
      <c r="B273" s="39" t="s">
        <v>85</v>
      </c>
      <c r="C273" s="73"/>
      <c r="D273" s="74"/>
      <c r="E273" s="72">
        <f>ROUND(D228/$D$235,3)</f>
        <v>0.49099999999999999</v>
      </c>
      <c r="F273" s="75">
        <f>ROUND(+D217-D228,3)</f>
        <v>0</v>
      </c>
      <c r="H273" s="28" t="s">
        <v>49</v>
      </c>
      <c r="I273" s="102">
        <f>ROUND(+I217,4)</f>
        <v>7.6464999999999996</v>
      </c>
      <c r="J273" s="102">
        <f>ROUND(+J217,4)</f>
        <v>7.6464999999999996</v>
      </c>
      <c r="K273" s="53" t="s">
        <v>52</v>
      </c>
    </row>
    <row r="274" spans="1:11" x14ac:dyDescent="0.2">
      <c r="A274" s="12"/>
      <c r="C274" s="76"/>
      <c r="D274" s="74"/>
      <c r="E274" s="76"/>
      <c r="F274" s="74"/>
    </row>
    <row r="275" spans="1:11" x14ac:dyDescent="0.2">
      <c r="A275" s="12"/>
      <c r="B275" s="1" t="s">
        <v>109</v>
      </c>
      <c r="C275" s="76">
        <f>ROUND(+C230/$D$235,3)</f>
        <v>1.095</v>
      </c>
      <c r="D275" s="74"/>
      <c r="E275" s="76">
        <f>ROUND(+D230/$D$235,3)</f>
        <v>0.90900000000000003</v>
      </c>
      <c r="F275" s="74"/>
    </row>
    <row r="276" spans="1:11" x14ac:dyDescent="0.2">
      <c r="A276" s="12"/>
      <c r="C276" s="61"/>
      <c r="E276" s="61"/>
    </row>
    <row r="277" spans="1:11" x14ac:dyDescent="0.2">
      <c r="A277" s="12"/>
      <c r="C277" s="61"/>
      <c r="E277" s="61"/>
    </row>
    <row r="279" spans="1:11" x14ac:dyDescent="0.2">
      <c r="A279" s="6" t="s">
        <v>27</v>
      </c>
      <c r="E279" s="40"/>
    </row>
    <row r="280" spans="1:11" x14ac:dyDescent="0.2">
      <c r="A280" s="12"/>
      <c r="B280" s="28" t="s">
        <v>34</v>
      </c>
      <c r="C280" s="84">
        <f>+F158</f>
        <v>169.73527191124808</v>
      </c>
      <c r="D280" s="53" t="s">
        <v>181</v>
      </c>
      <c r="E280" s="4" t="s">
        <v>47</v>
      </c>
    </row>
    <row r="281" spans="1:11" x14ac:dyDescent="0.2">
      <c r="A281" s="12"/>
      <c r="B281" s="28"/>
      <c r="C281" s="84">
        <f>+F159</f>
        <v>169.73527191124808</v>
      </c>
      <c r="D281" s="53" t="s">
        <v>181</v>
      </c>
      <c r="E281" s="4" t="s">
        <v>48</v>
      </c>
    </row>
    <row r="282" spans="1:11" x14ac:dyDescent="0.2">
      <c r="A282" s="12"/>
      <c r="B282" s="28"/>
    </row>
    <row r="283" spans="1:11" x14ac:dyDescent="0.2">
      <c r="A283" s="12"/>
      <c r="B283" s="28" t="s">
        <v>35</v>
      </c>
      <c r="C283" s="84">
        <f>+D155</f>
        <v>91758.14</v>
      </c>
      <c r="D283" s="53" t="s">
        <v>30</v>
      </c>
      <c r="E283" s="52"/>
    </row>
    <row r="284" spans="1:11" x14ac:dyDescent="0.2">
      <c r="A284" s="12"/>
      <c r="B284" s="28" t="s">
        <v>115</v>
      </c>
      <c r="C284" s="65">
        <f>+H152</f>
        <v>4</v>
      </c>
      <c r="D284" s="1" t="s">
        <v>116</v>
      </c>
      <c r="E284" s="52"/>
    </row>
    <row r="285" spans="1:11" x14ac:dyDescent="0.2">
      <c r="A285" s="12"/>
      <c r="B285" s="28"/>
      <c r="C285" s="65">
        <f>+H153</f>
        <v>8</v>
      </c>
      <c r="D285" s="1" t="s">
        <v>117</v>
      </c>
      <c r="E285" s="52"/>
    </row>
    <row r="286" spans="1:11" x14ac:dyDescent="0.2">
      <c r="A286" s="12"/>
      <c r="B286" s="173" t="s">
        <v>365</v>
      </c>
      <c r="C286" s="66">
        <f>+D171</f>
        <v>8.9600000000000009</v>
      </c>
      <c r="D286" s="1" t="s">
        <v>142</v>
      </c>
    </row>
    <row r="287" spans="1:11" x14ac:dyDescent="0.2">
      <c r="A287" s="12"/>
      <c r="B287" s="28" t="s">
        <v>138</v>
      </c>
      <c r="C287" s="11" t="s">
        <v>175</v>
      </c>
    </row>
    <row r="288" spans="1:11" x14ac:dyDescent="0.2">
      <c r="A288" s="12"/>
      <c r="B288" s="28" t="s">
        <v>33</v>
      </c>
      <c r="C288" s="172" t="s">
        <v>385</v>
      </c>
    </row>
    <row r="289" spans="1:13" x14ac:dyDescent="0.2">
      <c r="A289" s="12"/>
      <c r="B289" s="28"/>
      <c r="C289" s="4"/>
    </row>
    <row r="290" spans="1:13" x14ac:dyDescent="0.2">
      <c r="A290" s="12"/>
      <c r="B290" s="28" t="s">
        <v>45</v>
      </c>
      <c r="C290" s="1" t="s">
        <v>233</v>
      </c>
    </row>
    <row r="291" spans="1:13" x14ac:dyDescent="0.2">
      <c r="A291" s="12"/>
      <c r="B291" s="28" t="s">
        <v>46</v>
      </c>
      <c r="C291" s="1" t="s">
        <v>232</v>
      </c>
    </row>
    <row r="292" spans="1:13" x14ac:dyDescent="0.2">
      <c r="A292" s="12"/>
      <c r="B292" s="28" t="s">
        <v>63</v>
      </c>
      <c r="C292" s="1" t="s">
        <v>94</v>
      </c>
    </row>
    <row r="293" spans="1:13" x14ac:dyDescent="0.2">
      <c r="C293" s="1" t="s">
        <v>97</v>
      </c>
    </row>
    <row r="294" spans="1:13" x14ac:dyDescent="0.2">
      <c r="B294" s="28" t="s">
        <v>90</v>
      </c>
      <c r="C294" s="1" t="s">
        <v>95</v>
      </c>
    </row>
    <row r="295" spans="1:13" x14ac:dyDescent="0.2">
      <c r="A295" s="12"/>
      <c r="B295" s="173" t="s">
        <v>366</v>
      </c>
      <c r="C295" s="319" t="s">
        <v>367</v>
      </c>
      <c r="E295" s="61"/>
    </row>
    <row r="296" spans="1:13" x14ac:dyDescent="0.2">
      <c r="A296" s="12"/>
      <c r="C296" s="61"/>
      <c r="E296" s="61"/>
    </row>
    <row r="297" spans="1:13" x14ac:dyDescent="0.2">
      <c r="A297" s="12"/>
      <c r="C297" s="61"/>
      <c r="E297" s="61"/>
    </row>
    <row r="298" spans="1:13" x14ac:dyDescent="0.2">
      <c r="A298" s="8" t="s">
        <v>93</v>
      </c>
      <c r="B298" s="6" t="s">
        <v>136</v>
      </c>
    </row>
    <row r="299" spans="1:13" x14ac:dyDescent="0.2">
      <c r="A299" s="12"/>
      <c r="B299" s="6"/>
    </row>
    <row r="300" spans="1:13" x14ac:dyDescent="0.2">
      <c r="A300" s="12"/>
      <c r="C300" s="18" t="s">
        <v>0</v>
      </c>
      <c r="D300" s="18" t="s">
        <v>1</v>
      </c>
      <c r="E300" s="18" t="s">
        <v>2</v>
      </c>
      <c r="F300" s="18" t="s">
        <v>3</v>
      </c>
      <c r="G300" s="18" t="s">
        <v>4</v>
      </c>
      <c r="H300" s="18" t="s">
        <v>6</v>
      </c>
      <c r="I300" s="18" t="s">
        <v>37</v>
      </c>
      <c r="J300" s="18" t="s">
        <v>38</v>
      </c>
      <c r="K300" s="18" t="s">
        <v>5</v>
      </c>
      <c r="L300" s="18" t="s">
        <v>36</v>
      </c>
      <c r="M300" s="18"/>
    </row>
    <row r="301" spans="1:13" x14ac:dyDescent="0.2">
      <c r="A301" s="12"/>
      <c r="B301" s="1" t="s">
        <v>58</v>
      </c>
    </row>
    <row r="302" spans="1:13" x14ac:dyDescent="0.2">
      <c r="A302" s="12"/>
      <c r="B302" s="36" t="s">
        <v>53</v>
      </c>
      <c r="C302" s="44">
        <f>(+C197*SUM(C50:C53)*C163+C198*SUM(C50:C53)*C164)/1000</f>
        <v>480840.70312625822</v>
      </c>
      <c r="D302" s="44">
        <f>(+D197*SUM(D50:D53)*D163+D198*SUM(D50:D53)*D164)/1000</f>
        <v>1909.6586689670301</v>
      </c>
      <c r="E302" s="47">
        <f>(E195*SUMPRODUCT(E32:E35,E50:E53)+E196*SUMPRODUCT(Q32:Q35,E50:E53))/1000</f>
        <v>9283.4867915155446</v>
      </c>
      <c r="F302" s="47">
        <f>+F194*SUM(F50:F53)/1000</f>
        <v>11.48793221447891</v>
      </c>
      <c r="G302" s="47">
        <f>+G194*SUM(G50:G53)/1000</f>
        <v>0.19219275560561355</v>
      </c>
      <c r="H302" s="47">
        <f>+H194*SUM(H50:H53)/1000</f>
        <v>211.63669815267988</v>
      </c>
      <c r="I302" s="47">
        <f>+I194*SUM(I50:I53)/1000</f>
        <v>1496.7195808193528</v>
      </c>
      <c r="J302" s="47">
        <f>+J194*SUM(J50:J53)/1000</f>
        <v>2728.6138860394426</v>
      </c>
      <c r="K302" s="47">
        <f>(C211*SUM(K50:K53)/1000)+(I212*$H152*K147)+(I217*$H152*K149)</f>
        <v>193951.75230431947</v>
      </c>
      <c r="L302" s="47">
        <f>(D211*SUM(L50:L53)/1000)+(J212*$H152*L147)+(J217*$H152*L149)</f>
        <v>115043.92583531908</v>
      </c>
      <c r="M302" s="47"/>
    </row>
    <row r="303" spans="1:13" x14ac:dyDescent="0.2">
      <c r="A303" s="12"/>
      <c r="B303" s="36" t="s">
        <v>54</v>
      </c>
      <c r="C303" s="47">
        <f>+C200*SUM(C45:C49,C54:C56)/1000</f>
        <v>648701.93321669742</v>
      </c>
      <c r="D303" s="47">
        <f>+D200*SUM(D45:D49,D54:D56)/1000</f>
        <v>6695.600570738603</v>
      </c>
      <c r="E303" s="47">
        <f>(E201*(SUMPRODUCT(E27:E31,E45:E49)+SUMPRODUCT(E36:E38,E54:E56))+E202*(SUMPRODUCT(Q27:Q31,E45:E49)+SUMPRODUCT(Q36:Q38,E54:E56)))/1000</f>
        <v>11304.39091193903</v>
      </c>
      <c r="F303" s="47">
        <f>+F200*SUM(F45:F49,F54:F56)/1000</f>
        <v>33.637090537648078</v>
      </c>
      <c r="G303" s="47">
        <f>+G200*SUM(G45:G49,G54:G56)/1000</f>
        <v>0.62013646573787973</v>
      </c>
      <c r="H303" s="47">
        <f>+H200*SUM(H45:H49,H54:H56)/1000</f>
        <v>800.64104347188561</v>
      </c>
      <c r="I303" s="47">
        <f>+I200*SUM(I45:I49,I54:I56)/1000</f>
        <v>4756.2854899984623</v>
      </c>
      <c r="J303" s="47">
        <f>+J200*SUM(J45:J49,J54:J56)/1000</f>
        <v>9129.9222870069043</v>
      </c>
      <c r="K303" s="47">
        <f>(C215*SUM(K45:K49,K54:K56)/1000)+(I213*$H153*K147)+(I217*$H153*K149)</f>
        <v>374592.99312252126</v>
      </c>
      <c r="L303" s="47">
        <f>(D215*SUM(L45:L49,L54:L56)/1000)+(J213*$H153*L147)+(J217*$H153*L149)</f>
        <v>229796.1352464231</v>
      </c>
      <c r="M303" s="47"/>
    </row>
    <row r="304" spans="1:13" x14ac:dyDescent="0.2">
      <c r="A304" s="12"/>
      <c r="B304" s="36" t="s">
        <v>19</v>
      </c>
      <c r="C304" s="2">
        <f>+C303+C302</f>
        <v>1129542.6363429558</v>
      </c>
      <c r="D304" s="2">
        <f t="shared" ref="D304:J304" si="65">+D303+D302</f>
        <v>8605.2592397056324</v>
      </c>
      <c r="E304" s="2">
        <f t="shared" si="65"/>
        <v>20587.877703454575</v>
      </c>
      <c r="F304" s="2">
        <f t="shared" si="65"/>
        <v>45.125022752126988</v>
      </c>
      <c r="G304" s="2">
        <f t="shared" si="65"/>
        <v>0.81232922134349328</v>
      </c>
      <c r="H304" s="2">
        <f t="shared" si="65"/>
        <v>1012.2777416245655</v>
      </c>
      <c r="I304" s="2">
        <f t="shared" si="65"/>
        <v>6253.0050708178151</v>
      </c>
      <c r="J304" s="47">
        <f t="shared" si="65"/>
        <v>11858.536173046346</v>
      </c>
      <c r="K304" s="47">
        <f>+K303+K302</f>
        <v>568544.74542684073</v>
      </c>
      <c r="L304" s="47">
        <f>+L303+L302</f>
        <v>344840.06108174217</v>
      </c>
      <c r="M304" s="47"/>
    </row>
    <row r="305" spans="1:13" x14ac:dyDescent="0.2">
      <c r="A305" s="12"/>
      <c r="B305" s="36"/>
    </row>
    <row r="306" spans="1:13" x14ac:dyDescent="0.2">
      <c r="A306" s="12"/>
      <c r="B306" s="1" t="s">
        <v>57</v>
      </c>
    </row>
    <row r="307" spans="1:13" x14ac:dyDescent="0.2">
      <c r="A307" s="12"/>
      <c r="B307" s="36" t="s">
        <v>53</v>
      </c>
      <c r="C307" s="67">
        <f>+C302/C304</f>
        <v>0.42569504475107184</v>
      </c>
      <c r="D307" s="67">
        <f t="shared" ref="D307:I307" si="66">+D302/D304</f>
        <v>0.22191762220894526</v>
      </c>
      <c r="E307" s="67">
        <f t="shared" si="66"/>
        <v>0.45092004747812386</v>
      </c>
      <c r="F307" s="67">
        <f t="shared" si="66"/>
        <v>0.25458008691945583</v>
      </c>
      <c r="G307" s="67">
        <f t="shared" si="66"/>
        <v>0.23659465959842021</v>
      </c>
      <c r="H307" s="67">
        <f t="shared" si="66"/>
        <v>0.20906979324965924</v>
      </c>
      <c r="I307" s="67">
        <f t="shared" si="66"/>
        <v>0.23936004590887058</v>
      </c>
      <c r="J307" s="67">
        <f>+J302/J304</f>
        <v>0.23009702430569787</v>
      </c>
      <c r="K307" s="67">
        <f>+K302/K304</f>
        <v>0.3411371820149498</v>
      </c>
      <c r="L307" s="67">
        <f>+L302/L304</f>
        <v>0.3336153156754274</v>
      </c>
      <c r="M307" s="67"/>
    </row>
    <row r="308" spans="1:13" x14ac:dyDescent="0.2">
      <c r="A308" s="12"/>
      <c r="B308" s="36" t="s">
        <v>54</v>
      </c>
      <c r="C308" s="67">
        <f>+C303/C304</f>
        <v>0.57430495524892811</v>
      </c>
      <c r="D308" s="67">
        <f t="shared" ref="D308:I308" si="67">+D303/D304</f>
        <v>0.77808237779105482</v>
      </c>
      <c r="E308" s="67">
        <f t="shared" si="67"/>
        <v>0.54907995252187614</v>
      </c>
      <c r="F308" s="67">
        <f t="shared" si="67"/>
        <v>0.74541991308054423</v>
      </c>
      <c r="G308" s="67">
        <f t="shared" si="67"/>
        <v>0.76340534040157981</v>
      </c>
      <c r="H308" s="67">
        <f t="shared" si="67"/>
        <v>0.79093020675034076</v>
      </c>
      <c r="I308" s="67">
        <f t="shared" si="67"/>
        <v>0.76063995409112939</v>
      </c>
      <c r="J308" s="67">
        <f>+J303/J304</f>
        <v>0.76990297569430222</v>
      </c>
      <c r="K308" s="67">
        <f>+K303/K304</f>
        <v>0.6588628179850502</v>
      </c>
      <c r="L308" s="67">
        <f>+L303/L304</f>
        <v>0.66638468432457265</v>
      </c>
      <c r="M308" s="67"/>
    </row>
    <row r="309" spans="1:13" x14ac:dyDescent="0.2">
      <c r="A309" s="12"/>
    </row>
    <row r="310" spans="1:13" x14ac:dyDescent="0.2">
      <c r="A310" s="12"/>
      <c r="B310" s="1" t="s">
        <v>55</v>
      </c>
    </row>
    <row r="311" spans="1:13" x14ac:dyDescent="0.2">
      <c r="A311" s="12"/>
      <c r="B311" s="36" t="s">
        <v>53</v>
      </c>
      <c r="C311" s="68">
        <f>+SUM(C302:L302)</f>
        <v>805478.17701636092</v>
      </c>
    </row>
    <row r="312" spans="1:13" x14ac:dyDescent="0.2">
      <c r="A312" s="12"/>
      <c r="B312" s="36" t="s">
        <v>54</v>
      </c>
      <c r="C312" s="68">
        <f>+SUM(C303:L303)</f>
        <v>1285812.1591157999</v>
      </c>
    </row>
    <row r="313" spans="1:13" x14ac:dyDescent="0.2">
      <c r="A313" s="12"/>
      <c r="B313" s="36" t="s">
        <v>19</v>
      </c>
      <c r="C313" s="2">
        <f>+C312+C311</f>
        <v>2091290.3361321609</v>
      </c>
      <c r="D313" s="108"/>
    </row>
    <row r="314" spans="1:13" x14ac:dyDescent="0.2">
      <c r="A314" s="12"/>
      <c r="L314" s="77" t="s">
        <v>183</v>
      </c>
    </row>
    <row r="315" spans="1:13" x14ac:dyDescent="0.2">
      <c r="A315" s="12"/>
      <c r="B315" s="1" t="s">
        <v>56</v>
      </c>
      <c r="D315" s="1" t="s">
        <v>276</v>
      </c>
      <c r="K315" s="36" t="s">
        <v>283</v>
      </c>
    </row>
    <row r="316" spans="1:13" x14ac:dyDescent="0.2">
      <c r="A316" s="12"/>
      <c r="B316" s="36" t="s">
        <v>53</v>
      </c>
      <c r="C316" s="67">
        <f>+C311/C313</f>
        <v>0.38515846561319261</v>
      </c>
      <c r="E316" s="40">
        <f>+C311/SUMPRODUCT(O49:X49,C85:L85)*1000</f>
        <v>77.477392611277693</v>
      </c>
      <c r="F316" s="1" t="s">
        <v>277</v>
      </c>
      <c r="I316" s="1" t="s">
        <v>137</v>
      </c>
      <c r="K316" s="36" t="s">
        <v>53</v>
      </c>
      <c r="L316" s="136">
        <f>IF(ROUND(E316/$D$235,4)&lt;ROUND(E317/$D$235,4),1,ROUND(E316/$D$235,4))</f>
        <v>1</v>
      </c>
      <c r="M316" s="149"/>
    </row>
    <row r="317" spans="1:13" x14ac:dyDescent="0.2">
      <c r="A317" s="12"/>
      <c r="B317" s="36" t="s">
        <v>54</v>
      </c>
      <c r="C317" s="67">
        <f>+C312/C313</f>
        <v>0.61484153438680733</v>
      </c>
      <c r="E317" s="40">
        <f>+C312/SUMPRODUCT(O45:X45,C85:L85)*1000</f>
        <v>83.050590452550892</v>
      </c>
      <c r="F317" s="1" t="s">
        <v>277</v>
      </c>
      <c r="K317" s="36" t="s">
        <v>54</v>
      </c>
      <c r="L317" s="136">
        <f>IF(ROUND(E316/$D$235,4)&lt;ROUND(E317/$D$235,4),1,ROUND(E317/$D$235,4))</f>
        <v>1</v>
      </c>
      <c r="M317" s="149"/>
    </row>
    <row r="318" spans="1:13" x14ac:dyDescent="0.2">
      <c r="A318" s="12"/>
    </row>
    <row r="319" spans="1:13" x14ac:dyDescent="0.2">
      <c r="A319" s="12"/>
      <c r="C319" s="61"/>
      <c r="E319" s="61"/>
    </row>
    <row r="320" spans="1:13" x14ac:dyDescent="0.2">
      <c r="A320" s="8" t="s">
        <v>129</v>
      </c>
      <c r="B320" s="6" t="s">
        <v>223</v>
      </c>
      <c r="C320" s="61"/>
      <c r="E320" s="61"/>
    </row>
    <row r="321" spans="1:12" x14ac:dyDescent="0.2">
      <c r="A321" s="12"/>
      <c r="C321" s="61"/>
      <c r="E321" s="61"/>
    </row>
    <row r="322" spans="1:12" x14ac:dyDescent="0.2">
      <c r="A322" s="12"/>
      <c r="B322" s="28" t="s">
        <v>126</v>
      </c>
      <c r="C322" s="3">
        <f>D235</f>
        <v>80.811648282044132</v>
      </c>
      <c r="E322" s="130" t="s">
        <v>278</v>
      </c>
    </row>
    <row r="323" spans="1:12" x14ac:dyDescent="0.2">
      <c r="A323" s="12"/>
      <c r="B323" s="28" t="s">
        <v>128</v>
      </c>
      <c r="C323" s="71">
        <f>+L316</f>
        <v>1</v>
      </c>
      <c r="E323" s="61"/>
    </row>
    <row r="324" spans="1:12" x14ac:dyDescent="0.2">
      <c r="A324" s="12"/>
      <c r="B324" s="28" t="s">
        <v>127</v>
      </c>
      <c r="C324" s="71">
        <f>+L317</f>
        <v>1</v>
      </c>
      <c r="E324" s="61"/>
    </row>
    <row r="325" spans="1:12" x14ac:dyDescent="0.2">
      <c r="A325" s="12"/>
      <c r="C325" s="61"/>
      <c r="E325" s="61"/>
    </row>
    <row r="326" spans="1:12" x14ac:dyDescent="0.2">
      <c r="A326" s="12"/>
      <c r="C326" s="18" t="s">
        <v>0</v>
      </c>
      <c r="D326" s="18" t="s">
        <v>1</v>
      </c>
      <c r="E326" s="18" t="s">
        <v>2</v>
      </c>
      <c r="F326" s="18" t="s">
        <v>3</v>
      </c>
      <c r="G326" s="18" t="s">
        <v>4</v>
      </c>
      <c r="H326" s="18" t="s">
        <v>6</v>
      </c>
      <c r="I326" s="18" t="s">
        <v>37</v>
      </c>
      <c r="J326" s="18" t="s">
        <v>38</v>
      </c>
      <c r="K326" s="18" t="s">
        <v>5</v>
      </c>
      <c r="L326" s="18" t="s">
        <v>36</v>
      </c>
    </row>
    <row r="327" spans="1:12" x14ac:dyDescent="0.2">
      <c r="A327" s="12"/>
      <c r="B327" s="1" t="s">
        <v>124</v>
      </c>
    </row>
    <row r="328" spans="1:12" x14ac:dyDescent="0.2">
      <c r="A328" s="12"/>
      <c r="B328" s="36" t="s">
        <v>53</v>
      </c>
      <c r="C328" s="47">
        <f>+($C$322*C249*O49+C250*O53+C251*O54)/1000</f>
        <v>480823.45468498563</v>
      </c>
      <c r="D328" s="47">
        <f>+($C$322*D249*P49+D250*P53+D251*P54)/1000</f>
        <v>1909.5430366897629</v>
      </c>
      <c r="E328" s="69">
        <f>(($C$322*E246*Q50)+(C322*E247*Q51))/1000</f>
        <v>9282.8276530387247</v>
      </c>
      <c r="F328" s="47">
        <f>+$C$322*F245*R49/1000</f>
        <v>11.496507519548445</v>
      </c>
      <c r="G328" s="47">
        <f>+$C$322*G245*S49/1000</f>
        <v>0.19233172291126505</v>
      </c>
      <c r="H328" s="47">
        <f>+$C$322*H245*T49/1000</f>
        <v>211.7270365677671</v>
      </c>
      <c r="I328" s="47">
        <f>+$C$322*K247*U49/1000</f>
        <v>1493.6099362192469</v>
      </c>
      <c r="J328" s="47">
        <f>+$C$322*K247*V49/1000</f>
        <v>2728.0750990188421</v>
      </c>
      <c r="K328" s="69">
        <f>+($C$322*C267+D267)*W49/1000+(I268*H152*K147)+(I273*H152*K149)</f>
        <v>193955.43116818185</v>
      </c>
      <c r="L328" s="69">
        <f>(($C$322*E268+F268)*X50+(C322*E269*X51))/1000+(J268*$H$152*L147)+(J273*$H$152*L149)</f>
        <v>115024.71669395303</v>
      </c>
    </row>
    <row r="329" spans="1:12" x14ac:dyDescent="0.2">
      <c r="A329" s="12"/>
      <c r="B329" s="36" t="s">
        <v>54</v>
      </c>
      <c r="C329" s="47">
        <f>+$C$322*C255*O45/1000</f>
        <v>648458.45354689052</v>
      </c>
      <c r="D329" s="47">
        <f>+$C$322*D255*P45/1000</f>
        <v>6693.8502684355599</v>
      </c>
      <c r="E329" s="69">
        <f>(($C$322*E256*Q46)+(C322*E257*Q47))/1000</f>
        <v>11307.537884273328</v>
      </c>
      <c r="F329" s="47">
        <f>+$C$322*F255*R45/1000</f>
        <v>33.665971051003027</v>
      </c>
      <c r="G329" s="47">
        <f>+$C$322*G255*S45/1000</f>
        <v>0.61998696561984268</v>
      </c>
      <c r="H329" s="47">
        <f>+$C$322*H255*T45/1000</f>
        <v>800.98371333658883</v>
      </c>
      <c r="I329" s="47">
        <f>+$C$322*K257*U45/1000</f>
        <v>4756.8427206698962</v>
      </c>
      <c r="J329" s="47">
        <f>+$C$322*K257*V45/1000</f>
        <v>9128.6749902995398</v>
      </c>
      <c r="K329" s="69">
        <f>+($C$322*C271+D271)*W45/1000+(I269*H153*K147)+(I273*H153*K149)</f>
        <v>374562.7051187816</v>
      </c>
      <c r="L329" s="69">
        <f>(($C$322*E272+F272)*X46+C322*E273*X47)/1000+(J269*$H$153*L147)+(J273*$H$153*L149)</f>
        <v>229754.45350852056</v>
      </c>
    </row>
    <row r="330" spans="1:12" x14ac:dyDescent="0.2">
      <c r="A330" s="12"/>
      <c r="B330" s="36" t="s">
        <v>19</v>
      </c>
      <c r="C330" s="2">
        <f>+C329+C328</f>
        <v>1129281.9082318761</v>
      </c>
      <c r="D330" s="2">
        <f t="shared" ref="D330:L330" si="68">+D329+D328</f>
        <v>8603.3933051253225</v>
      </c>
      <c r="E330" s="2">
        <f t="shared" si="68"/>
        <v>20590.365537312053</v>
      </c>
      <c r="F330" s="2">
        <f t="shared" si="68"/>
        <v>45.162478570551471</v>
      </c>
      <c r="G330" s="2">
        <f t="shared" si="68"/>
        <v>0.81231868853110778</v>
      </c>
      <c r="H330" s="2">
        <f t="shared" si="68"/>
        <v>1012.7107499043559</v>
      </c>
      <c r="I330" s="2">
        <f t="shared" si="68"/>
        <v>6250.4526568891433</v>
      </c>
      <c r="J330" s="2">
        <f t="shared" si="68"/>
        <v>11856.750089318382</v>
      </c>
      <c r="K330" s="2">
        <f t="shared" si="68"/>
        <v>568518.13628696348</v>
      </c>
      <c r="L330" s="2">
        <f t="shared" si="68"/>
        <v>344779.17020247359</v>
      </c>
    </row>
    <row r="331" spans="1:12" x14ac:dyDescent="0.2">
      <c r="A331" s="12"/>
      <c r="B331" s="36"/>
      <c r="C331" s="2"/>
      <c r="D331" s="2"/>
      <c r="E331" s="2"/>
      <c r="F331" s="2"/>
      <c r="G331" s="2"/>
      <c r="H331" s="2"/>
      <c r="I331" s="2"/>
      <c r="J331" s="2"/>
      <c r="K331" s="2"/>
      <c r="L331" s="2"/>
    </row>
    <row r="332" spans="1:12" x14ac:dyDescent="0.2">
      <c r="A332" s="12"/>
      <c r="B332" s="36" t="s">
        <v>170</v>
      </c>
      <c r="C332" s="2">
        <f>SUM(C328:L328)</f>
        <v>805441.07414789731</v>
      </c>
      <c r="D332" s="2"/>
      <c r="E332" s="2"/>
      <c r="F332" s="2"/>
      <c r="G332" s="2"/>
      <c r="H332" s="2"/>
      <c r="I332" s="2"/>
      <c r="J332" s="2"/>
      <c r="K332" s="2"/>
      <c r="L332" s="2"/>
    </row>
    <row r="333" spans="1:12" x14ac:dyDescent="0.2">
      <c r="A333" s="12"/>
      <c r="B333" s="36" t="s">
        <v>171</v>
      </c>
      <c r="C333" s="2">
        <f>SUM(C329:L329)</f>
        <v>1285497.7877092243</v>
      </c>
      <c r="E333" s="61"/>
    </row>
    <row r="334" spans="1:12" x14ac:dyDescent="0.2">
      <c r="A334" s="12"/>
      <c r="B334" s="36" t="s">
        <v>172</v>
      </c>
      <c r="C334" s="2">
        <f>+C333+C332</f>
        <v>2090938.8618571216</v>
      </c>
      <c r="E334" s="61"/>
    </row>
    <row r="335" spans="1:12" x14ac:dyDescent="0.2">
      <c r="A335" s="12"/>
      <c r="B335" s="36"/>
      <c r="C335" s="61"/>
      <c r="E335" s="61"/>
    </row>
    <row r="336" spans="1:12" x14ac:dyDescent="0.2">
      <c r="A336" s="12"/>
      <c r="C336" s="18" t="s">
        <v>0</v>
      </c>
      <c r="D336" s="18" t="s">
        <v>1</v>
      </c>
      <c r="E336" s="18" t="s">
        <v>2</v>
      </c>
      <c r="F336" s="18" t="s">
        <v>3</v>
      </c>
      <c r="G336" s="18" t="s">
        <v>4</v>
      </c>
      <c r="H336" s="18" t="s">
        <v>6</v>
      </c>
      <c r="I336" s="18" t="s">
        <v>37</v>
      </c>
      <c r="J336" s="18" t="s">
        <v>38</v>
      </c>
      <c r="K336" s="18" t="s">
        <v>5</v>
      </c>
      <c r="L336" s="18" t="s">
        <v>36</v>
      </c>
    </row>
    <row r="337" spans="1:12" x14ac:dyDescent="0.2">
      <c r="A337" s="12"/>
      <c r="B337" s="1" t="s">
        <v>125</v>
      </c>
    </row>
    <row r="338" spans="1:12" x14ac:dyDescent="0.2">
      <c r="A338" s="12"/>
      <c r="B338" s="36" t="s">
        <v>53</v>
      </c>
      <c r="C338" s="47">
        <f t="shared" ref="C338:L338" si="69">+$C$322*$C$323*O49*C85/1000</f>
        <v>464309.6253570065</v>
      </c>
      <c r="D338" s="47">
        <f t="shared" si="69"/>
        <v>2350.9005451635021</v>
      </c>
      <c r="E338" s="47">
        <f t="shared" si="69"/>
        <v>8148.2696329002365</v>
      </c>
      <c r="F338" s="47">
        <f t="shared" si="69"/>
        <v>25.795762767912731</v>
      </c>
      <c r="G338" s="47">
        <f t="shared" si="69"/>
        <v>0.43427210046991133</v>
      </c>
      <c r="H338" s="47">
        <f t="shared" si="69"/>
        <v>236.05719652920999</v>
      </c>
      <c r="I338" s="47">
        <f t="shared" si="69"/>
        <v>3741.9489809090378</v>
      </c>
      <c r="J338" s="47">
        <f t="shared" si="69"/>
        <v>6834.6611716155576</v>
      </c>
      <c r="K338" s="47">
        <f t="shared" si="69"/>
        <v>208337.20241896639</v>
      </c>
      <c r="L338" s="47">
        <f t="shared" si="69"/>
        <v>146157.20219609502</v>
      </c>
    </row>
    <row r="339" spans="1:12" x14ac:dyDescent="0.2">
      <c r="A339" s="12"/>
      <c r="B339" s="36" t="s">
        <v>54</v>
      </c>
      <c r="C339" s="47">
        <f t="shared" ref="C339:L339" si="70">+$C$322*$C$324*O45*C85/1000</f>
        <v>593146.87903771293</v>
      </c>
      <c r="D339" s="47">
        <f t="shared" si="70"/>
        <v>7565.0784606814905</v>
      </c>
      <c r="E339" s="47">
        <f t="shared" si="70"/>
        <v>10009.653147332261</v>
      </c>
      <c r="F339" s="47">
        <f t="shared" si="70"/>
        <v>66.26992253170846</v>
      </c>
      <c r="G339" s="47">
        <f t="shared" si="70"/>
        <v>1.2159618813157516</v>
      </c>
      <c r="H339" s="47">
        <f t="shared" si="70"/>
        <v>838.24544448397819</v>
      </c>
      <c r="I339" s="47">
        <f t="shared" si="70"/>
        <v>9794.1386818979099</v>
      </c>
      <c r="J339" s="47">
        <f t="shared" si="70"/>
        <v>18795.557071598047</v>
      </c>
      <c r="K339" s="47">
        <f t="shared" si="70"/>
        <v>349560.30134133867</v>
      </c>
      <c r="L339" s="47">
        <f t="shared" si="70"/>
        <v>261370.89952864833</v>
      </c>
    </row>
    <row r="340" spans="1:12" x14ac:dyDescent="0.2">
      <c r="A340" s="12"/>
      <c r="B340" s="36" t="s">
        <v>19</v>
      </c>
      <c r="C340" s="2">
        <f t="shared" ref="C340:L340" si="71">+C339+C338</f>
        <v>1057456.5043947194</v>
      </c>
      <c r="D340" s="2">
        <f t="shared" si="71"/>
        <v>9915.9790058449926</v>
      </c>
      <c r="E340" s="2">
        <f t="shared" si="71"/>
        <v>18157.922780232497</v>
      </c>
      <c r="F340" s="2">
        <f t="shared" si="71"/>
        <v>92.065685299621194</v>
      </c>
      <c r="G340" s="2">
        <f t="shared" si="71"/>
        <v>1.6502339817856628</v>
      </c>
      <c r="H340" s="2">
        <f t="shared" si="71"/>
        <v>1074.3026410131881</v>
      </c>
      <c r="I340" s="2">
        <f t="shared" si="71"/>
        <v>13536.087662806947</v>
      </c>
      <c r="J340" s="47">
        <f t="shared" si="71"/>
        <v>25630.218243213603</v>
      </c>
      <c r="K340" s="47">
        <f t="shared" si="71"/>
        <v>557897.503760305</v>
      </c>
      <c r="L340" s="47">
        <f t="shared" si="71"/>
        <v>407528.10172474338</v>
      </c>
    </row>
    <row r="341" spans="1:12" x14ac:dyDescent="0.2">
      <c r="A341" s="12"/>
      <c r="C341" s="61"/>
      <c r="D341" s="61"/>
      <c r="E341" s="61"/>
      <c r="F341" s="61"/>
      <c r="G341" s="61"/>
      <c r="H341" s="61"/>
      <c r="I341" s="61"/>
      <c r="J341" s="61"/>
      <c r="K341" s="61"/>
      <c r="L341" s="61"/>
    </row>
    <row r="342" spans="1:12" x14ac:dyDescent="0.2">
      <c r="A342" s="12"/>
      <c r="B342" s="36" t="s">
        <v>170</v>
      </c>
      <c r="C342" s="2">
        <f>SUM(C338:L338)</f>
        <v>840142.09753405384</v>
      </c>
    </row>
    <row r="343" spans="1:12" x14ac:dyDescent="0.2">
      <c r="A343" s="12"/>
      <c r="B343" s="36" t="s">
        <v>171</v>
      </c>
      <c r="C343" s="2">
        <f>SUM(C339:L339)</f>
        <v>1251148.2385981064</v>
      </c>
    </row>
    <row r="344" spans="1:12" x14ac:dyDescent="0.2">
      <c r="A344" s="12"/>
      <c r="B344" s="36" t="s">
        <v>172</v>
      </c>
      <c r="C344" s="2">
        <f>+C343+C342</f>
        <v>2091290.3361321604</v>
      </c>
    </row>
    <row r="345" spans="1:12" x14ac:dyDescent="0.2">
      <c r="A345" s="12"/>
      <c r="C345" s="61"/>
      <c r="E345" s="61"/>
    </row>
    <row r="346" spans="1:12" x14ac:dyDescent="0.2">
      <c r="B346" s="28" t="s">
        <v>182</v>
      </c>
      <c r="C346" s="2">
        <f>+C334-C344</f>
        <v>-351.47427503881045</v>
      </c>
    </row>
    <row r="347" spans="1:12" x14ac:dyDescent="0.2">
      <c r="C347" s="1" t="s">
        <v>184</v>
      </c>
    </row>
    <row r="350" spans="1:12" x14ac:dyDescent="0.2">
      <c r="A350" s="8" t="s">
        <v>230</v>
      </c>
      <c r="B350" s="6" t="s">
        <v>229</v>
      </c>
      <c r="C350" s="15" t="s">
        <v>269</v>
      </c>
    </row>
    <row r="351" spans="1:12" x14ac:dyDescent="0.2">
      <c r="B351" s="7" t="s">
        <v>78</v>
      </c>
    </row>
    <row r="352" spans="1:12" x14ac:dyDescent="0.2">
      <c r="B352" s="36" t="s">
        <v>53</v>
      </c>
      <c r="C352" s="30">
        <f>SUMPRODUCT(O49:X49,C85:L85)</f>
        <v>10396299.486453222</v>
      </c>
    </row>
    <row r="353" spans="2:3" x14ac:dyDescent="0.2">
      <c r="B353" s="308" t="s">
        <v>54</v>
      </c>
      <c r="C353" s="131">
        <f>SUMPRODUCT(O45:X45,C85:L85)</f>
        <v>15482275.949024349</v>
      </c>
    </row>
    <row r="354" spans="2:3" x14ac:dyDescent="0.2">
      <c r="B354" s="308" t="s">
        <v>19</v>
      </c>
      <c r="C354" s="30">
        <f>+C353+C352</f>
        <v>25878575.43547757</v>
      </c>
    </row>
  </sheetData>
  <customSheetViews>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2"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ignoredErrors>
    <ignoredError sqref="C94:C96 D94:E96 F94:O96 C112:C114 D112:E114 F112:I114 J112:L1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212"/>
  <sheetViews>
    <sheetView zoomScaleNormal="100" workbookViewId="0">
      <selection activeCell="C5" sqref="C5"/>
    </sheetView>
  </sheetViews>
  <sheetFormatPr defaultColWidth="9.140625" defaultRowHeight="12.75" x14ac:dyDescent="0.2"/>
  <cols>
    <col min="1" max="1" width="12.5703125" style="1" customWidth="1"/>
    <col min="2" max="2" width="34.7109375" style="1" customWidth="1"/>
    <col min="3" max="3" width="26.42578125" style="1" customWidth="1"/>
    <col min="4" max="5" width="13.140625" style="1" customWidth="1"/>
    <col min="6" max="7" width="12.140625" style="1" customWidth="1"/>
    <col min="8" max="8" width="11.85546875" style="1" customWidth="1"/>
    <col min="9" max="9" width="11" style="1" customWidth="1"/>
    <col min="10" max="10" width="13.140625" style="1" customWidth="1"/>
    <col min="11" max="11" width="12.5703125" style="1" customWidth="1"/>
    <col min="12" max="12" width="12.5703125" style="1" bestFit="1" customWidth="1"/>
    <col min="13" max="13" width="14.28515625" style="1" bestFit="1" customWidth="1"/>
    <col min="14" max="14" width="24.140625" style="1" bestFit="1" customWidth="1"/>
    <col min="15" max="16" width="10.85546875" style="1" bestFit="1" customWidth="1"/>
    <col min="17" max="17" width="14.42578125" style="1" bestFit="1" customWidth="1"/>
    <col min="18" max="16384" width="9.140625" style="1"/>
  </cols>
  <sheetData>
    <row r="1" spans="1:17" ht="15.75" x14ac:dyDescent="0.25">
      <c r="B1" s="157" t="s">
        <v>376</v>
      </c>
    </row>
    <row r="2" spans="1:17" x14ac:dyDescent="0.2">
      <c r="B2" s="325" t="s">
        <v>324</v>
      </c>
    </row>
    <row r="3" spans="1:17" x14ac:dyDescent="0.2">
      <c r="B3" s="7" t="s">
        <v>368</v>
      </c>
    </row>
    <row r="5" spans="1:17" x14ac:dyDescent="0.2">
      <c r="A5" s="8" t="s">
        <v>241</v>
      </c>
      <c r="B5" s="6" t="s">
        <v>263</v>
      </c>
      <c r="M5" s="309" t="s">
        <v>327</v>
      </c>
      <c r="N5" s="309" t="s">
        <v>328</v>
      </c>
      <c r="O5" s="309" t="s">
        <v>329</v>
      </c>
      <c r="P5" s="309" t="s">
        <v>363</v>
      </c>
      <c r="Q5" s="309" t="s">
        <v>373</v>
      </c>
    </row>
    <row r="6" spans="1:17" ht="51" customHeight="1" x14ac:dyDescent="0.2">
      <c r="A6" s="36" t="s">
        <v>203</v>
      </c>
      <c r="B6" s="6" t="s">
        <v>231</v>
      </c>
      <c r="C6" s="13" t="s">
        <v>364</v>
      </c>
      <c r="D6" s="13" t="s">
        <v>372</v>
      </c>
      <c r="E6" s="13" t="s">
        <v>371</v>
      </c>
      <c r="G6" s="13" t="s">
        <v>204</v>
      </c>
      <c r="M6" s="310" t="s">
        <v>330</v>
      </c>
      <c r="N6" s="311" t="s">
        <v>331</v>
      </c>
      <c r="O6" s="362" t="s">
        <v>387</v>
      </c>
      <c r="P6" s="362" t="s">
        <v>383</v>
      </c>
      <c r="Q6" s="362" t="s">
        <v>384</v>
      </c>
    </row>
    <row r="7" spans="1:17" x14ac:dyDescent="0.2">
      <c r="M7" s="310" t="s">
        <v>332</v>
      </c>
      <c r="N7" s="311" t="s">
        <v>333</v>
      </c>
      <c r="O7" s="363"/>
      <c r="P7" s="363"/>
      <c r="Q7" s="363"/>
    </row>
    <row r="8" spans="1:17" x14ac:dyDescent="0.2">
      <c r="A8" s="36">
        <v>1</v>
      </c>
      <c r="B8" s="6" t="s">
        <v>205</v>
      </c>
      <c r="C8" s="81">
        <f>Input!C136</f>
        <v>96.38</v>
      </c>
      <c r="D8" s="81">
        <f>Input!D136</f>
        <v>90.78</v>
      </c>
      <c r="E8" s="81">
        <f>ROUND(IF(Input!E138="yes",Input!$E$136,IF(LEFT(Input!B2,6)="Rebase",Input!E136,(bid_factors!D235*(1+#REF!)*SUM(C20:C21)/1000-SUM(C26:D26))/(E$13/E$14/1000*(E16*$C20+E17*$C21)))),2)</f>
        <v>90.78</v>
      </c>
      <c r="G8" s="324" t="s">
        <v>374</v>
      </c>
      <c r="M8" s="310" t="s">
        <v>334</v>
      </c>
      <c r="N8" s="311" t="s">
        <v>335</v>
      </c>
      <c r="O8" s="363"/>
      <c r="P8" s="363"/>
      <c r="Q8" s="363"/>
    </row>
    <row r="9" spans="1:17" x14ac:dyDescent="0.2">
      <c r="A9" s="313" t="s">
        <v>353</v>
      </c>
      <c r="B9" s="6" t="s">
        <v>313</v>
      </c>
      <c r="C9" s="323"/>
      <c r="D9" s="323"/>
      <c r="E9" s="323"/>
      <c r="G9" s="327" t="s">
        <v>386</v>
      </c>
      <c r="M9" s="310" t="s">
        <v>336</v>
      </c>
      <c r="N9" s="311" t="s">
        <v>337</v>
      </c>
      <c r="O9" s="363"/>
      <c r="P9" s="363"/>
      <c r="Q9" s="363"/>
    </row>
    <row r="10" spans="1:17" x14ac:dyDescent="0.2">
      <c r="A10" s="36"/>
      <c r="B10" s="6" t="s">
        <v>314</v>
      </c>
      <c r="C10" s="271">
        <f>+C8+C9</f>
        <v>96.38</v>
      </c>
      <c r="D10" s="271">
        <f>+D8+D9</f>
        <v>90.78</v>
      </c>
      <c r="E10" s="271">
        <f>+E8+E9</f>
        <v>90.78</v>
      </c>
      <c r="G10" s="272" t="s">
        <v>315</v>
      </c>
      <c r="M10" s="310" t="s">
        <v>338</v>
      </c>
      <c r="N10" s="311" t="s">
        <v>339</v>
      </c>
      <c r="O10" s="363"/>
      <c r="P10" s="363"/>
      <c r="Q10" s="363"/>
    </row>
    <row r="11" spans="1:17" x14ac:dyDescent="0.2">
      <c r="A11" s="36"/>
      <c r="B11" s="6"/>
      <c r="C11" s="271"/>
      <c r="D11" s="271"/>
      <c r="E11" s="271"/>
      <c r="G11" s="272"/>
      <c r="M11" s="310" t="s">
        <v>340</v>
      </c>
      <c r="N11" s="311" t="s">
        <v>341</v>
      </c>
      <c r="O11" s="363"/>
      <c r="P11" s="363"/>
      <c r="Q11" s="363"/>
    </row>
    <row r="12" spans="1:17" x14ac:dyDescent="0.2">
      <c r="B12" s="7" t="s">
        <v>275</v>
      </c>
      <c r="M12" s="310" t="s">
        <v>342</v>
      </c>
      <c r="N12" s="311" t="s">
        <v>343</v>
      </c>
      <c r="O12" s="363"/>
      <c r="P12" s="363"/>
      <c r="Q12" s="363"/>
    </row>
    <row r="13" spans="1:17" x14ac:dyDescent="0.2">
      <c r="A13" s="36">
        <v>2</v>
      </c>
      <c r="B13" s="6" t="s">
        <v>311</v>
      </c>
      <c r="C13" s="153">
        <f>Input!C137</f>
        <v>28</v>
      </c>
      <c r="D13" s="153">
        <f>Input!D137</f>
        <v>28</v>
      </c>
      <c r="E13" s="153">
        <f>Input!E137</f>
        <v>29</v>
      </c>
      <c r="G13" s="1" t="s">
        <v>206</v>
      </c>
      <c r="M13" s="310" t="s">
        <v>344</v>
      </c>
      <c r="N13" s="311" t="s">
        <v>345</v>
      </c>
      <c r="O13" s="363"/>
      <c r="P13" s="363"/>
      <c r="Q13" s="363"/>
    </row>
    <row r="14" spans="1:17" x14ac:dyDescent="0.2">
      <c r="A14" s="36">
        <v>3</v>
      </c>
      <c r="B14" s="6" t="s">
        <v>312</v>
      </c>
      <c r="C14" s="153">
        <v>85</v>
      </c>
      <c r="D14" s="153">
        <v>85</v>
      </c>
      <c r="E14" s="153">
        <v>85</v>
      </c>
      <c r="G14" s="1" t="s">
        <v>206</v>
      </c>
      <c r="M14" s="310" t="s">
        <v>323</v>
      </c>
      <c r="N14" s="311" t="s">
        <v>346</v>
      </c>
      <c r="O14" s="363"/>
      <c r="P14" s="363"/>
      <c r="Q14" s="363"/>
    </row>
    <row r="15" spans="1:17" x14ac:dyDescent="0.2">
      <c r="A15" s="36"/>
      <c r="B15" s="6" t="s">
        <v>207</v>
      </c>
      <c r="M15" s="310" t="s">
        <v>347</v>
      </c>
      <c r="N15" s="311" t="s">
        <v>348</v>
      </c>
      <c r="O15" s="363"/>
      <c r="P15" s="363"/>
      <c r="Q15" s="363"/>
    </row>
    <row r="16" spans="1:17" x14ac:dyDescent="0.2">
      <c r="A16" s="36">
        <v>4</v>
      </c>
      <c r="B16" s="67" t="s">
        <v>208</v>
      </c>
      <c r="C16" s="89">
        <f>Input!C140</f>
        <v>1</v>
      </c>
      <c r="D16" s="89">
        <f>Input!D140</f>
        <v>1</v>
      </c>
      <c r="E16" s="89">
        <f>IF(LEFT(Input!$B$2,6)="rebase",Input!E140,bid_factors!L316)</f>
        <v>1</v>
      </c>
      <c r="K16" s="89"/>
      <c r="M16" s="310" t="s">
        <v>349</v>
      </c>
      <c r="N16" s="311" t="s">
        <v>350</v>
      </c>
      <c r="O16" s="363"/>
      <c r="P16" s="363"/>
      <c r="Q16" s="363"/>
    </row>
    <row r="17" spans="1:17" ht="12.75" customHeight="1" x14ac:dyDescent="0.2">
      <c r="A17" s="36">
        <v>5</v>
      </c>
      <c r="B17" s="67" t="s">
        <v>209</v>
      </c>
      <c r="C17" s="89">
        <f>Input!C141</f>
        <v>1</v>
      </c>
      <c r="D17" s="89">
        <f>Input!D141</f>
        <v>1</v>
      </c>
      <c r="E17" s="89">
        <f>IF(LEFT(Input!$B$2,6)="rebase",Input!E141,bid_factors!L317)</f>
        <v>1</v>
      </c>
      <c r="K17" s="89"/>
      <c r="M17" s="310" t="s">
        <v>351</v>
      </c>
      <c r="N17" s="312" t="s">
        <v>352</v>
      </c>
      <c r="O17" s="364"/>
      <c r="P17" s="364"/>
      <c r="Q17" s="364"/>
    </row>
    <row r="18" spans="1:17" x14ac:dyDescent="0.2">
      <c r="A18" s="36"/>
    </row>
    <row r="19" spans="1:17" x14ac:dyDescent="0.2">
      <c r="A19" s="36"/>
      <c r="B19" s="6" t="s">
        <v>270</v>
      </c>
    </row>
    <row r="20" spans="1:17" x14ac:dyDescent="0.2">
      <c r="A20" s="36">
        <v>6</v>
      </c>
      <c r="B20" s="1" t="s">
        <v>210</v>
      </c>
      <c r="C20" s="98">
        <f>+bid_factors!C352</f>
        <v>10396299.486453222</v>
      </c>
      <c r="D20" s="27"/>
      <c r="E20" s="27"/>
      <c r="G20" s="1" t="s">
        <v>281</v>
      </c>
    </row>
    <row r="21" spans="1:17" x14ac:dyDescent="0.2">
      <c r="A21" s="36">
        <v>7</v>
      </c>
      <c r="B21" s="1" t="s">
        <v>211</v>
      </c>
      <c r="C21" s="98">
        <f>+bid_factors!C353</f>
        <v>15482275.949024349</v>
      </c>
      <c r="D21" s="27"/>
      <c r="E21" s="27"/>
    </row>
    <row r="22" spans="1:17" x14ac:dyDescent="0.2">
      <c r="A22" s="36"/>
    </row>
    <row r="23" spans="1:17" x14ac:dyDescent="0.2">
      <c r="A23" s="36"/>
      <c r="B23" s="6" t="s">
        <v>271</v>
      </c>
    </row>
    <row r="24" spans="1:17" x14ac:dyDescent="0.2">
      <c r="A24" s="36">
        <v>8</v>
      </c>
      <c r="B24" s="67" t="s">
        <v>208</v>
      </c>
      <c r="C24" s="314">
        <f>+C$8*C$13/C$14*C16*$C20/1000+C$9*C$13/C$14*$C20/1000</f>
        <v>330069.05466026027</v>
      </c>
      <c r="D24" s="314">
        <f t="shared" ref="D24:E24" si="0">+D$8*D$13/D$14*D16*$C20/1000+D$9*D$13/D$14*$C20/1000</f>
        <v>310890.93984289718</v>
      </c>
      <c r="E24" s="314">
        <f t="shared" si="0"/>
        <v>321994.18769442919</v>
      </c>
      <c r="F24" s="315"/>
      <c r="G24" s="316" t="s">
        <v>354</v>
      </c>
      <c r="J24" s="2"/>
      <c r="L24" s="2"/>
    </row>
    <row r="25" spans="1:17" ht="15" x14ac:dyDescent="0.35">
      <c r="A25" s="36">
        <v>9</v>
      </c>
      <c r="B25" s="67" t="s">
        <v>209</v>
      </c>
      <c r="C25" s="317">
        <f>+C$8*C$13/C$14*C17*$C21/1000+C$9*C$13/C$14*$C21/1000</f>
        <v>491542.22549500084</v>
      </c>
      <c r="D25" s="317">
        <f t="shared" ref="D25:E25" si="1">+D$8*D$13/D$14*D17*$C21/1000+D$9*D$13/D$14*$C21/1000</f>
        <v>462981.97997962422</v>
      </c>
      <c r="E25" s="317">
        <f t="shared" si="1"/>
        <v>479517.0506931821</v>
      </c>
      <c r="F25" s="315"/>
      <c r="G25" s="316" t="s">
        <v>355</v>
      </c>
    </row>
    <row r="26" spans="1:17" x14ac:dyDescent="0.2">
      <c r="A26" s="36">
        <v>10</v>
      </c>
      <c r="B26" s="1" t="s">
        <v>212</v>
      </c>
      <c r="C26" s="2">
        <f>+C25+C24</f>
        <v>821611.28015526105</v>
      </c>
      <c r="D26" s="2">
        <f>+D25+D24</f>
        <v>773872.91982252139</v>
      </c>
      <c r="E26" s="2">
        <f>+E25+E24</f>
        <v>801511.23838761123</v>
      </c>
      <c r="G26" s="1" t="s">
        <v>274</v>
      </c>
      <c r="J26" s="2"/>
      <c r="L26" s="2"/>
    </row>
    <row r="27" spans="1:17" x14ac:dyDescent="0.2">
      <c r="A27" s="36"/>
    </row>
    <row r="28" spans="1:17" x14ac:dyDescent="0.2">
      <c r="A28" s="36"/>
      <c r="B28" s="6" t="s">
        <v>272</v>
      </c>
    </row>
    <row r="29" spans="1:17" x14ac:dyDescent="0.2">
      <c r="A29" s="36">
        <v>11</v>
      </c>
      <c r="B29" s="67" t="s">
        <v>208</v>
      </c>
      <c r="C29" s="120">
        <f>ROUND(+SUM(C24:E24)/C20*1000,3)</f>
        <v>92.625</v>
      </c>
      <c r="D29" s="58"/>
      <c r="G29" s="53" t="s">
        <v>261</v>
      </c>
    </row>
    <row r="30" spans="1:17" x14ac:dyDescent="0.2">
      <c r="A30" s="36">
        <v>12</v>
      </c>
      <c r="B30" s="67" t="s">
        <v>209</v>
      </c>
      <c r="C30" s="121">
        <f>ROUND(+SUM(C25:E25)/C21*1000,3)</f>
        <v>92.625</v>
      </c>
      <c r="G30" s="53" t="s">
        <v>262</v>
      </c>
    </row>
    <row r="31" spans="1:17" x14ac:dyDescent="0.2">
      <c r="A31" s="36"/>
      <c r="B31" s="67"/>
      <c r="C31" s="104"/>
      <c r="G31" s="53"/>
    </row>
    <row r="32" spans="1:17" x14ac:dyDescent="0.2">
      <c r="A32" s="36">
        <v>13</v>
      </c>
      <c r="B32" s="1" t="s">
        <v>216</v>
      </c>
      <c r="C32" s="122">
        <f>ROUND(+SUM(C26:E26)/(C20+C21)*1000,3)</f>
        <v>92.625</v>
      </c>
      <c r="D32" s="1" t="s">
        <v>214</v>
      </c>
      <c r="G32" s="53" t="s">
        <v>213</v>
      </c>
    </row>
    <row r="33" spans="1:13" x14ac:dyDescent="0.2">
      <c r="D33" s="1" t="s">
        <v>215</v>
      </c>
      <c r="G33" s="1" t="s">
        <v>260</v>
      </c>
    </row>
    <row r="34" spans="1:13" x14ac:dyDescent="0.2">
      <c r="C34" s="58"/>
    </row>
    <row r="35" spans="1:13" x14ac:dyDescent="0.2">
      <c r="B35" s="97" t="s">
        <v>239</v>
      </c>
      <c r="D35" s="58"/>
    </row>
    <row r="36" spans="1:13" x14ac:dyDescent="0.2">
      <c r="A36" s="36">
        <v>14</v>
      </c>
      <c r="B36" s="28" t="s">
        <v>240</v>
      </c>
      <c r="C36" s="2">
        <f>(C32*(C21+C20))/1000</f>
        <v>2397003.0497111101</v>
      </c>
      <c r="D36" s="58"/>
      <c r="G36" s="53" t="s">
        <v>221</v>
      </c>
    </row>
    <row r="37" spans="1:13" ht="15" x14ac:dyDescent="0.35">
      <c r="A37" s="36">
        <v>15</v>
      </c>
      <c r="B37" s="28" t="s">
        <v>218</v>
      </c>
      <c r="C37" s="99">
        <f>SUM(C26:E26)</f>
        <v>2396995.4383653938</v>
      </c>
      <c r="D37" s="58"/>
      <c r="G37" s="53" t="s">
        <v>219</v>
      </c>
    </row>
    <row r="38" spans="1:13" x14ac:dyDescent="0.2">
      <c r="A38" s="36">
        <v>16</v>
      </c>
      <c r="B38" s="28" t="s">
        <v>217</v>
      </c>
      <c r="C38" s="47">
        <f>+C36-C37</f>
        <v>7.6113457162864506</v>
      </c>
      <c r="D38" s="58"/>
      <c r="G38" s="53" t="s">
        <v>220</v>
      </c>
    </row>
    <row r="39" spans="1:13" x14ac:dyDescent="0.2">
      <c r="B39" s="28"/>
      <c r="D39" s="58"/>
    </row>
    <row r="41" spans="1:13" x14ac:dyDescent="0.2">
      <c r="A41" s="8" t="s">
        <v>242</v>
      </c>
      <c r="B41" s="6" t="s">
        <v>273</v>
      </c>
      <c r="G41" s="7" t="s">
        <v>200</v>
      </c>
    </row>
    <row r="42" spans="1:13" x14ac:dyDescent="0.2">
      <c r="A42" s="8"/>
      <c r="B42" s="6"/>
      <c r="G42" s="7" t="s">
        <v>284</v>
      </c>
    </row>
    <row r="43" spans="1:13" x14ac:dyDescent="0.2">
      <c r="B43" s="6" t="s">
        <v>41</v>
      </c>
    </row>
    <row r="44" spans="1:13" x14ac:dyDescent="0.2">
      <c r="B44" s="7" t="s">
        <v>88</v>
      </c>
    </row>
    <row r="45" spans="1:13" x14ac:dyDescent="0.2">
      <c r="B45" s="6"/>
    </row>
    <row r="46" spans="1:13" x14ac:dyDescent="0.2">
      <c r="C46" s="18" t="str">
        <f>+bid_factors!C243</f>
        <v>RS</v>
      </c>
      <c r="D46" s="18" t="str">
        <f>+bid_factors!D243</f>
        <v>RHS</v>
      </c>
      <c r="E46" s="18" t="str">
        <f>+bid_factors!E243</f>
        <v>RLM</v>
      </c>
      <c r="F46" s="18" t="str">
        <f>+bid_factors!F243</f>
        <v>WH</v>
      </c>
      <c r="G46" s="18" t="str">
        <f>+bid_factors!G243</f>
        <v>WHS</v>
      </c>
      <c r="H46" s="18" t="str">
        <f>+bid_factors!H243</f>
        <v>HS</v>
      </c>
      <c r="I46" s="18" t="str">
        <f>+bid_factors!I243</f>
        <v>PSAL</v>
      </c>
      <c r="J46" s="18" t="str">
        <f>+bid_factors!J243</f>
        <v>BPL</v>
      </c>
    </row>
    <row r="47" spans="1:13" x14ac:dyDescent="0.2">
      <c r="C47" s="18"/>
      <c r="D47" s="18"/>
      <c r="E47" s="18"/>
      <c r="F47" s="18"/>
      <c r="G47" s="18"/>
    </row>
    <row r="48" spans="1:13" x14ac:dyDescent="0.2">
      <c r="B48" s="19" t="s">
        <v>23</v>
      </c>
      <c r="E48" s="73"/>
      <c r="F48" s="72">
        <f>+bid_factors!F245</f>
        <v>0.47899999999999998</v>
      </c>
      <c r="G48" s="72">
        <f>+bid_factors!G245</f>
        <v>0.47599999999999998</v>
      </c>
      <c r="H48" s="72">
        <f>+bid_factors!H245</f>
        <v>0.96399999999999997</v>
      </c>
      <c r="I48" s="73">
        <f>+bid_factors!I245</f>
        <v>0.43</v>
      </c>
      <c r="J48" s="73">
        <f>+bid_factors!J245</f>
        <v>0.42899999999999999</v>
      </c>
      <c r="K48" s="61"/>
      <c r="L48" s="61"/>
      <c r="M48" s="61"/>
    </row>
    <row r="49" spans="2:13" x14ac:dyDescent="0.2">
      <c r="B49" s="39" t="s">
        <v>84</v>
      </c>
      <c r="C49" s="60"/>
      <c r="D49" s="59"/>
      <c r="E49" s="72">
        <f>+bid_factors!E246</f>
        <v>2.11</v>
      </c>
      <c r="F49" s="73"/>
      <c r="G49" s="73"/>
      <c r="H49" s="73"/>
      <c r="I49" s="11"/>
      <c r="J49" s="62" t="s">
        <v>168</v>
      </c>
      <c r="K49" s="61"/>
      <c r="L49" s="61"/>
      <c r="M49" s="61"/>
    </row>
    <row r="50" spans="2:13" x14ac:dyDescent="0.2">
      <c r="B50" s="39" t="s">
        <v>85</v>
      </c>
      <c r="C50" s="60"/>
      <c r="D50" s="59"/>
      <c r="E50" s="72">
        <f>+bid_factors!E247</f>
        <v>0.40400000000000003</v>
      </c>
      <c r="F50" s="73"/>
      <c r="G50" s="73"/>
      <c r="H50" s="74"/>
      <c r="I50" s="11"/>
      <c r="J50" s="62" t="s">
        <v>169</v>
      </c>
      <c r="K50" s="75">
        <f>+bid_factors!K247</f>
        <v>0.42899999999999999</v>
      </c>
      <c r="L50" s="61"/>
      <c r="M50" s="61"/>
    </row>
    <row r="51" spans="2:13" x14ac:dyDescent="0.2">
      <c r="E51" s="60"/>
      <c r="F51" s="59"/>
      <c r="G51" s="59"/>
      <c r="L51" s="61"/>
      <c r="M51" s="61"/>
    </row>
    <row r="52" spans="2:13" x14ac:dyDescent="0.2">
      <c r="B52" s="63" t="s">
        <v>165</v>
      </c>
      <c r="C52" s="72">
        <f>+bid_factors!C249</f>
        <v>1.113</v>
      </c>
      <c r="D52" s="72">
        <f>+bid_factors!D249</f>
        <v>0.873</v>
      </c>
      <c r="E52" s="60"/>
      <c r="F52" s="59"/>
      <c r="G52" s="59"/>
      <c r="H52" s="59"/>
      <c r="I52" s="59"/>
      <c r="J52" s="59"/>
      <c r="K52" s="61"/>
      <c r="L52" s="61"/>
      <c r="M52" s="61"/>
    </row>
    <row r="53" spans="2:13" x14ac:dyDescent="0.2">
      <c r="B53" s="63" t="s">
        <v>173</v>
      </c>
      <c r="C53" s="92">
        <f>+bid_factors!C250</f>
        <v>-3.0539999999999998</v>
      </c>
      <c r="D53" s="92">
        <f>+bid_factors!D250</f>
        <v>-4.2460000000000004</v>
      </c>
      <c r="E53" s="90" t="s">
        <v>166</v>
      </c>
      <c r="F53" s="59"/>
      <c r="G53" s="59"/>
      <c r="H53" s="59"/>
      <c r="I53" s="59"/>
      <c r="J53" s="59"/>
      <c r="K53" s="61"/>
      <c r="L53" s="61"/>
      <c r="M53" s="61"/>
    </row>
    <row r="54" spans="2:13" x14ac:dyDescent="0.2">
      <c r="B54" s="63" t="s">
        <v>173</v>
      </c>
      <c r="C54" s="92">
        <f>+bid_factors!C251</f>
        <v>5.5979999999999999</v>
      </c>
      <c r="D54" s="92">
        <f>+bid_factors!D251</f>
        <v>7.3230000000000004</v>
      </c>
      <c r="E54" s="90" t="s">
        <v>167</v>
      </c>
      <c r="F54" s="59"/>
      <c r="G54" s="59"/>
      <c r="H54" s="59"/>
      <c r="I54" s="59"/>
      <c r="J54" s="59"/>
      <c r="K54" s="61"/>
      <c r="L54" s="61"/>
      <c r="M54" s="61"/>
    </row>
    <row r="55" spans="2:13" x14ac:dyDescent="0.2">
      <c r="G55" s="59"/>
      <c r="H55" s="59"/>
      <c r="I55" s="59"/>
      <c r="J55" s="59"/>
      <c r="K55" s="61"/>
      <c r="L55" s="61"/>
      <c r="M55" s="61"/>
    </row>
    <row r="56" spans="2:13" x14ac:dyDescent="0.2">
      <c r="H56" s="59"/>
      <c r="I56" s="59"/>
      <c r="J56" s="59"/>
      <c r="K56" s="61"/>
      <c r="L56" s="61"/>
      <c r="M56" s="61"/>
    </row>
    <row r="57" spans="2:13" x14ac:dyDescent="0.2">
      <c r="C57" s="59"/>
      <c r="D57" s="59"/>
      <c r="E57" s="59"/>
      <c r="F57" s="59"/>
      <c r="G57" s="59"/>
      <c r="H57" s="59"/>
      <c r="I57" s="59"/>
      <c r="J57" s="59"/>
      <c r="K57" s="61"/>
      <c r="L57" s="61"/>
      <c r="M57" s="61"/>
    </row>
    <row r="58" spans="2:13" x14ac:dyDescent="0.2">
      <c r="B58" s="19" t="s">
        <v>24</v>
      </c>
      <c r="C58" s="72">
        <f>+bid_factors!C255</f>
        <v>1.175</v>
      </c>
      <c r="D58" s="72">
        <f>+bid_factors!D255</f>
        <v>0.95099999999999996</v>
      </c>
      <c r="E58" s="73"/>
      <c r="F58" s="72">
        <f>+bid_factors!F255</f>
        <v>0.54600000000000004</v>
      </c>
      <c r="G58" s="72">
        <f>+bid_factors!G255</f>
        <v>0.54800000000000004</v>
      </c>
      <c r="H58" s="72">
        <f>+bid_factors!H255</f>
        <v>1.0269999999999999</v>
      </c>
      <c r="I58" s="73">
        <f>+bid_factors!I255</f>
        <v>0.52200000000000002</v>
      </c>
      <c r="J58" s="73">
        <f>+bid_factors!J255</f>
        <v>0.52200000000000002</v>
      </c>
      <c r="K58" s="61"/>
      <c r="L58" s="61"/>
      <c r="M58" s="61"/>
    </row>
    <row r="59" spans="2:13" x14ac:dyDescent="0.2">
      <c r="B59" s="39" t="s">
        <v>84</v>
      </c>
      <c r="C59" s="59"/>
      <c r="D59" s="59"/>
      <c r="E59" s="72">
        <f>+bid_factors!E256</f>
        <v>2.1520000000000001</v>
      </c>
      <c r="F59" s="59"/>
      <c r="G59" s="59"/>
      <c r="H59" s="59"/>
      <c r="J59" s="62" t="s">
        <v>168</v>
      </c>
      <c r="K59" s="61"/>
      <c r="L59" s="61"/>
      <c r="M59" s="61"/>
    </row>
    <row r="60" spans="2:13" x14ac:dyDescent="0.2">
      <c r="B60" s="39" t="s">
        <v>85</v>
      </c>
      <c r="C60" s="59"/>
      <c r="D60" s="59"/>
      <c r="E60" s="72">
        <f>+bid_factors!E257</f>
        <v>0.496</v>
      </c>
      <c r="F60" s="59"/>
      <c r="G60" s="59"/>
      <c r="J60" s="62" t="s">
        <v>169</v>
      </c>
      <c r="K60" s="75">
        <f>+bid_factors!K257</f>
        <v>0.52200000000000002</v>
      </c>
      <c r="L60" s="61"/>
      <c r="M60" s="61"/>
    </row>
    <row r="61" spans="2:13" x14ac:dyDescent="0.2">
      <c r="C61" s="64"/>
      <c r="D61" s="64"/>
      <c r="E61" s="64"/>
      <c r="F61" s="64"/>
      <c r="G61" s="64"/>
      <c r="K61" s="61"/>
      <c r="L61" s="61"/>
      <c r="M61" s="61"/>
    </row>
    <row r="62" spans="2:13" x14ac:dyDescent="0.2">
      <c r="B62" s="1" t="s">
        <v>113</v>
      </c>
      <c r="C62" s="76">
        <f>+bid_factors!C259</f>
        <v>1.1479999999999999</v>
      </c>
      <c r="D62" s="76">
        <f>+bid_factors!D259</f>
        <v>0.93300000000000005</v>
      </c>
      <c r="E62" s="76">
        <f>+bid_factors!E259</f>
        <v>1.2190000000000001</v>
      </c>
      <c r="F62" s="76">
        <f>+bid_factors!F259</f>
        <v>0.52700000000000002</v>
      </c>
      <c r="G62" s="76">
        <f>+bid_factors!G259</f>
        <v>0.52900000000000003</v>
      </c>
      <c r="H62" s="76">
        <f>+bid_factors!H259</f>
        <v>1.0129999999999999</v>
      </c>
      <c r="I62" s="76">
        <f>+bid_factors!I259</f>
        <v>0.496</v>
      </c>
      <c r="J62" s="76">
        <f>+bid_factors!J259</f>
        <v>0.497</v>
      </c>
      <c r="K62" s="61"/>
      <c r="L62" s="61"/>
      <c r="M62" s="61"/>
    </row>
    <row r="65" spans="2:11" x14ac:dyDescent="0.2">
      <c r="B65" s="6" t="s">
        <v>32</v>
      </c>
    </row>
    <row r="66" spans="2:11" x14ac:dyDescent="0.2">
      <c r="B66" s="7" t="s">
        <v>89</v>
      </c>
    </row>
    <row r="67" spans="2:11" x14ac:dyDescent="0.2">
      <c r="B67" s="11"/>
    </row>
    <row r="68" spans="2:11" x14ac:dyDescent="0.2">
      <c r="C68" s="18" t="str">
        <f>+bid_factors!C265</f>
        <v>GLP</v>
      </c>
      <c r="D68" s="18" t="str">
        <f>+bid_factors!D265</f>
        <v>GLP</v>
      </c>
      <c r="E68" s="18" t="str">
        <f>+bid_factors!E265</f>
        <v>LPL-S</v>
      </c>
      <c r="F68" s="18" t="str">
        <f>+bid_factors!F265</f>
        <v>LPL-S</v>
      </c>
      <c r="H68" s="6" t="s">
        <v>31</v>
      </c>
      <c r="I68" s="18" t="str">
        <f>+C68</f>
        <v>GLP</v>
      </c>
      <c r="J68" s="18" t="str">
        <f>+E68</f>
        <v>LPL-S</v>
      </c>
    </row>
    <row r="69" spans="2:11" ht="25.5" x14ac:dyDescent="0.2">
      <c r="C69" s="18" t="s">
        <v>123</v>
      </c>
      <c r="D69" s="70" t="s">
        <v>173</v>
      </c>
      <c r="E69" s="18" t="s">
        <v>123</v>
      </c>
      <c r="F69" s="70" t="s">
        <v>173</v>
      </c>
    </row>
    <row r="70" spans="2:11" x14ac:dyDescent="0.2">
      <c r="B70" s="19" t="s">
        <v>23</v>
      </c>
      <c r="C70" s="72">
        <f>+bid_factors!C267</f>
        <v>1</v>
      </c>
      <c r="D70" s="75">
        <f>+bid_factors!D267</f>
        <v>-40.286999999999999</v>
      </c>
      <c r="E70" s="74"/>
      <c r="F70" s="74"/>
      <c r="H70" s="56" t="s">
        <v>28</v>
      </c>
    </row>
    <row r="71" spans="2:11" x14ac:dyDescent="0.2">
      <c r="B71" s="39" t="s">
        <v>84</v>
      </c>
      <c r="C71" s="73"/>
      <c r="D71" s="75"/>
      <c r="E71" s="72">
        <f>+bid_factors!E268</f>
        <v>1.27</v>
      </c>
      <c r="F71" s="75">
        <f>+bid_factors!F268</f>
        <v>-55.412999999999997</v>
      </c>
      <c r="H71" s="28" t="s">
        <v>47</v>
      </c>
      <c r="I71" s="102">
        <f>+bid_factors!I$270</f>
        <v>5.1627999999999998</v>
      </c>
      <c r="J71" s="102">
        <f>+bid_factors!J$270</f>
        <v>5.1627999999999998</v>
      </c>
      <c r="K71" s="53" t="s">
        <v>51</v>
      </c>
    </row>
    <row r="72" spans="2:11" x14ac:dyDescent="0.2">
      <c r="B72" s="39" t="s">
        <v>85</v>
      </c>
      <c r="C72" s="73"/>
      <c r="D72" s="75"/>
      <c r="E72" s="72">
        <f>+bid_factors!E269</f>
        <v>0.40400000000000003</v>
      </c>
      <c r="F72" s="75">
        <f>+bid_factors!F269</f>
        <v>0</v>
      </c>
      <c r="H72" s="28" t="s">
        <v>48</v>
      </c>
      <c r="I72" s="102">
        <f>+bid_factors!I$270</f>
        <v>5.1627999999999998</v>
      </c>
      <c r="J72" s="102">
        <f>+bid_factors!J$270</f>
        <v>5.1627999999999998</v>
      </c>
      <c r="K72" s="53" t="s">
        <v>51</v>
      </c>
    </row>
    <row r="73" spans="2:11" x14ac:dyDescent="0.2">
      <c r="C73" s="73"/>
      <c r="D73" s="75"/>
      <c r="E73" s="73"/>
      <c r="F73" s="75"/>
      <c r="H73" s="28"/>
      <c r="I73" s="102"/>
      <c r="J73" s="102"/>
      <c r="K73" s="53"/>
    </row>
    <row r="74" spans="2:11" x14ac:dyDescent="0.2">
      <c r="B74" s="19" t="s">
        <v>24</v>
      </c>
      <c r="C74" s="72">
        <f>+bid_factors!C271</f>
        <v>1.1519999999999999</v>
      </c>
      <c r="D74" s="75">
        <f>+bid_factors!D271</f>
        <v>-48.021999999999998</v>
      </c>
      <c r="E74" s="72"/>
      <c r="F74" s="75"/>
      <c r="H74" s="56" t="s">
        <v>29</v>
      </c>
      <c r="I74" s="58"/>
      <c r="J74" s="58"/>
    </row>
    <row r="75" spans="2:11" x14ac:dyDescent="0.2">
      <c r="B75" s="39" t="s">
        <v>84</v>
      </c>
      <c r="C75" s="73"/>
      <c r="D75" s="74"/>
      <c r="E75" s="72">
        <f>+bid_factors!E272</f>
        <v>1.409</v>
      </c>
      <c r="F75" s="75">
        <f>+bid_factors!F272</f>
        <v>-63.875999999999998</v>
      </c>
      <c r="H75" s="28" t="s">
        <v>49</v>
      </c>
      <c r="I75" s="102">
        <f>+bid_factors!I273</f>
        <v>7.6464999999999996</v>
      </c>
      <c r="J75" s="102">
        <f>+bid_factors!J273</f>
        <v>7.6464999999999996</v>
      </c>
      <c r="K75" s="53" t="s">
        <v>52</v>
      </c>
    </row>
    <row r="76" spans="2:11" x14ac:dyDescent="0.2">
      <c r="B76" s="39" t="s">
        <v>85</v>
      </c>
      <c r="C76" s="73"/>
      <c r="D76" s="74"/>
      <c r="E76" s="72">
        <f>+bid_factors!E273</f>
        <v>0.49099999999999999</v>
      </c>
      <c r="F76" s="75">
        <f>+bid_factors!F273</f>
        <v>0</v>
      </c>
    </row>
    <row r="77" spans="2:11" x14ac:dyDescent="0.2">
      <c r="C77" s="76"/>
      <c r="D77" s="74"/>
      <c r="E77" s="76"/>
      <c r="F77" s="74"/>
    </row>
    <row r="78" spans="2:11" x14ac:dyDescent="0.2">
      <c r="B78" s="1" t="s">
        <v>109</v>
      </c>
      <c r="C78" s="76">
        <f>+bid_factors!C275</f>
        <v>1.095</v>
      </c>
      <c r="D78" s="74"/>
      <c r="E78" s="76">
        <f>+bid_factors!E275</f>
        <v>0.90900000000000003</v>
      </c>
      <c r="F78" s="74"/>
    </row>
    <row r="79" spans="2:11" x14ac:dyDescent="0.2">
      <c r="C79" s="76"/>
      <c r="D79" s="74"/>
      <c r="E79" s="76"/>
      <c r="F79" s="74"/>
    </row>
    <row r="80" spans="2:11" x14ac:dyDescent="0.2">
      <c r="C80" s="61"/>
      <c r="E80" s="61"/>
    </row>
    <row r="81" spans="1:13" x14ac:dyDescent="0.2">
      <c r="A81" s="123" t="s">
        <v>243</v>
      </c>
      <c r="B81" s="97" t="s">
        <v>258</v>
      </c>
      <c r="C81" s="61"/>
      <c r="E81" s="61"/>
    </row>
    <row r="82" spans="1:13" x14ac:dyDescent="0.2">
      <c r="A82" s="123"/>
      <c r="B82" s="7" t="s">
        <v>225</v>
      </c>
    </row>
    <row r="84" spans="1:13" x14ac:dyDescent="0.2">
      <c r="B84" s="6" t="s">
        <v>201</v>
      </c>
    </row>
    <row r="85" spans="1:13" x14ac:dyDescent="0.2">
      <c r="B85" s="7" t="s">
        <v>88</v>
      </c>
    </row>
    <row r="86" spans="1:13" x14ac:dyDescent="0.2">
      <c r="B86" s="6"/>
    </row>
    <row r="87" spans="1:13" x14ac:dyDescent="0.2">
      <c r="C87" s="18" t="str">
        <f>+C46</f>
        <v>RS</v>
      </c>
      <c r="D87" s="18" t="str">
        <f t="shared" ref="D87:J87" si="2">+D46</f>
        <v>RHS</v>
      </c>
      <c r="E87" s="18" t="str">
        <f t="shared" si="2"/>
        <v>RLM</v>
      </c>
      <c r="F87" s="18" t="str">
        <f t="shared" si="2"/>
        <v>WH</v>
      </c>
      <c r="G87" s="18" t="str">
        <f t="shared" si="2"/>
        <v>WHS</v>
      </c>
      <c r="H87" s="18" t="str">
        <f t="shared" si="2"/>
        <v>HS</v>
      </c>
      <c r="I87" s="18" t="str">
        <f t="shared" si="2"/>
        <v>PSAL</v>
      </c>
      <c r="J87" s="18" t="str">
        <f t="shared" si="2"/>
        <v>BPL</v>
      </c>
    </row>
    <row r="88" spans="1:13" x14ac:dyDescent="0.2">
      <c r="C88" s="123"/>
      <c r="D88" s="123"/>
      <c r="E88" s="123"/>
      <c r="F88" s="124"/>
      <c r="G88" s="124"/>
      <c r="H88" s="124"/>
      <c r="I88" s="124"/>
      <c r="J88" s="124"/>
    </row>
    <row r="89" spans="1:13" x14ac:dyDescent="0.2">
      <c r="B89" s="19" t="s">
        <v>23</v>
      </c>
      <c r="C89" s="123"/>
      <c r="D89" s="123"/>
      <c r="E89" s="123"/>
      <c r="F89" s="124">
        <f>ROUND(($C$32*F48)/10,4)</f>
        <v>4.4367000000000001</v>
      </c>
      <c r="G89" s="124">
        <f>ROUND(($C$32*G48)/10,4)</f>
        <v>4.4089999999999998</v>
      </c>
      <c r="H89" s="124">
        <f>ROUND(($C$32*H48)/10,4)</f>
        <v>8.9291</v>
      </c>
      <c r="I89" s="124">
        <f>ROUND(($C$32*K50)/10,4)</f>
        <v>3.9735999999999998</v>
      </c>
      <c r="J89" s="124">
        <f>+I89</f>
        <v>3.9735999999999998</v>
      </c>
      <c r="L89" s="61"/>
      <c r="M89" s="61"/>
    </row>
    <row r="90" spans="1:13" x14ac:dyDescent="0.2">
      <c r="B90" s="39" t="s">
        <v>84</v>
      </c>
      <c r="C90" s="123"/>
      <c r="D90" s="123"/>
      <c r="E90" s="124">
        <f>ROUND(($C$32*E49)/10,4)</f>
        <v>19.543900000000001</v>
      </c>
      <c r="F90" s="123"/>
      <c r="G90" s="124"/>
      <c r="H90" s="124"/>
      <c r="I90" s="124"/>
      <c r="J90" s="123"/>
      <c r="L90" s="61"/>
      <c r="M90" s="61"/>
    </row>
    <row r="91" spans="1:13" x14ac:dyDescent="0.2">
      <c r="B91" s="39" t="s">
        <v>85</v>
      </c>
      <c r="C91" s="123"/>
      <c r="D91" s="123"/>
      <c r="E91" s="124">
        <f>ROUND(($C$32*E50/10),4)</f>
        <v>3.7421000000000002</v>
      </c>
      <c r="F91" s="123"/>
      <c r="G91" s="123"/>
      <c r="H91" s="123"/>
      <c r="I91" s="123"/>
      <c r="J91" s="123"/>
      <c r="L91" s="61"/>
      <c r="M91" s="61"/>
    </row>
    <row r="92" spans="1:13" x14ac:dyDescent="0.2">
      <c r="B92" s="63"/>
      <c r="C92" s="123"/>
      <c r="D92" s="123"/>
      <c r="E92" s="123"/>
      <c r="F92" s="123"/>
      <c r="G92" s="123"/>
      <c r="H92" s="123"/>
      <c r="I92" s="123"/>
      <c r="J92" s="123"/>
      <c r="L92" s="61"/>
      <c r="M92" s="61"/>
    </row>
    <row r="93" spans="1:13" x14ac:dyDescent="0.2">
      <c r="B93" s="90" t="s">
        <v>166</v>
      </c>
      <c r="C93" s="124">
        <f>ROUND((+$C$32*C52+C53)/10,4)</f>
        <v>10.0038</v>
      </c>
      <c r="D93" s="124">
        <f>ROUND((+$C$32*D52+D53)/10,4)</f>
        <v>7.6616</v>
      </c>
      <c r="E93" s="123"/>
      <c r="F93" s="123"/>
      <c r="G93" s="123"/>
      <c r="H93" s="123"/>
      <c r="I93" s="123"/>
      <c r="J93" s="123"/>
      <c r="L93" s="61"/>
      <c r="M93" s="61"/>
    </row>
    <row r="94" spans="1:13" x14ac:dyDescent="0.2">
      <c r="B94" s="90" t="s">
        <v>167</v>
      </c>
      <c r="C94" s="124">
        <f>ROUND((+$C$32*C52+C54)/10,4)</f>
        <v>10.869</v>
      </c>
      <c r="D94" s="124">
        <f>ROUND((+$C$32*D52+D54)/10,4)</f>
        <v>8.8185000000000002</v>
      </c>
      <c r="E94" s="123"/>
      <c r="F94" s="123"/>
      <c r="G94" s="123"/>
      <c r="H94" s="123"/>
      <c r="I94" s="123"/>
      <c r="J94" s="123"/>
      <c r="L94" s="61"/>
      <c r="M94" s="61"/>
    </row>
    <row r="95" spans="1:13" x14ac:dyDescent="0.2">
      <c r="C95" s="124"/>
      <c r="D95" s="124"/>
      <c r="E95" s="123"/>
      <c r="F95" s="123"/>
      <c r="G95" s="123"/>
      <c r="H95" s="123"/>
      <c r="I95" s="123"/>
      <c r="J95" s="123"/>
      <c r="L95" s="61"/>
      <c r="M95" s="61"/>
    </row>
    <row r="96" spans="1:13" x14ac:dyDescent="0.2">
      <c r="B96" s="19" t="s">
        <v>24</v>
      </c>
      <c r="C96" s="124">
        <f>ROUND(($C$32*C58)/10,4)</f>
        <v>10.8834</v>
      </c>
      <c r="D96" s="124">
        <f>ROUND(($C$32*D58)/10,4)</f>
        <v>8.8086000000000002</v>
      </c>
      <c r="E96" s="123"/>
      <c r="F96" s="124">
        <f>ROUND(($C$32*F58)/10,4)</f>
        <v>5.0572999999999997</v>
      </c>
      <c r="G96" s="124">
        <f>ROUND(($C$32*G58)/10,4)</f>
        <v>5.0758999999999999</v>
      </c>
      <c r="H96" s="124">
        <f>ROUND(($C$32*H58)/10,4)</f>
        <v>9.5126000000000008</v>
      </c>
      <c r="I96" s="124">
        <f>ROUND(($C$32*K60)/10,4)</f>
        <v>4.835</v>
      </c>
      <c r="J96" s="124">
        <f>+I96</f>
        <v>4.835</v>
      </c>
      <c r="L96" s="61"/>
      <c r="M96" s="61"/>
    </row>
    <row r="97" spans="2:13" x14ac:dyDescent="0.2">
      <c r="B97" s="39" t="s">
        <v>84</v>
      </c>
      <c r="C97" s="123"/>
      <c r="D97" s="123"/>
      <c r="E97" s="124">
        <f>ROUND(($C$32*E59)/10,4)</f>
        <v>19.9329</v>
      </c>
      <c r="F97" s="123"/>
      <c r="G97" s="123"/>
      <c r="H97" s="123"/>
      <c r="I97" s="123"/>
      <c r="J97" s="123"/>
      <c r="L97" s="61"/>
      <c r="M97" s="61"/>
    </row>
    <row r="98" spans="2:13" x14ac:dyDescent="0.2">
      <c r="B98" s="39" t="s">
        <v>85</v>
      </c>
      <c r="C98" s="123"/>
      <c r="D98" s="123"/>
      <c r="E98" s="124">
        <f>ROUND(($C$32*E60)/10,4)</f>
        <v>4.5941999999999998</v>
      </c>
      <c r="F98" s="123"/>
      <c r="G98" s="123"/>
      <c r="H98" s="123"/>
      <c r="I98" s="123"/>
      <c r="J98" s="123"/>
      <c r="L98" s="61"/>
      <c r="M98" s="61"/>
    </row>
    <row r="99" spans="2:13" x14ac:dyDescent="0.2">
      <c r="C99" s="123"/>
      <c r="D99" s="123"/>
      <c r="E99" s="124"/>
      <c r="F99" s="123"/>
      <c r="G99" s="123"/>
      <c r="H99" s="123"/>
      <c r="I99" s="123"/>
      <c r="J99" s="123"/>
      <c r="L99" s="61"/>
      <c r="M99" s="61"/>
    </row>
    <row r="102" spans="2:13" x14ac:dyDescent="0.2">
      <c r="B102" s="6" t="s">
        <v>202</v>
      </c>
    </row>
    <row r="103" spans="2:13" x14ac:dyDescent="0.2">
      <c r="B103" s="7" t="s">
        <v>89</v>
      </c>
    </row>
    <row r="104" spans="2:13" x14ac:dyDescent="0.2">
      <c r="B104" s="11"/>
    </row>
    <row r="105" spans="2:13" x14ac:dyDescent="0.2">
      <c r="C105" s="18" t="str">
        <f>+C68</f>
        <v>GLP</v>
      </c>
      <c r="D105" s="18"/>
      <c r="E105" s="18" t="str">
        <f>+E68</f>
        <v>LPL-S</v>
      </c>
      <c r="F105" s="18"/>
      <c r="H105" s="6" t="s">
        <v>31</v>
      </c>
      <c r="I105" s="18" t="str">
        <f>+C105</f>
        <v>GLP</v>
      </c>
      <c r="J105" s="18" t="str">
        <f>+E105</f>
        <v>LPL-S</v>
      </c>
    </row>
    <row r="106" spans="2:13" x14ac:dyDescent="0.2">
      <c r="F106" s="70"/>
    </row>
    <row r="107" spans="2:13" x14ac:dyDescent="0.2">
      <c r="B107" s="19" t="s">
        <v>23</v>
      </c>
      <c r="C107" s="124">
        <f>ROUND(($C$32*C70+D70)/10,4)</f>
        <v>5.2337999999999996</v>
      </c>
      <c r="D107" s="124"/>
      <c r="E107" s="124"/>
      <c r="F107" s="74"/>
      <c r="H107" s="56" t="s">
        <v>28</v>
      </c>
    </row>
    <row r="108" spans="2:13" x14ac:dyDescent="0.2">
      <c r="B108" s="39" t="s">
        <v>84</v>
      </c>
      <c r="C108" s="124"/>
      <c r="D108" s="124"/>
      <c r="E108" s="124">
        <f>ROUND(($C$32*E71+F71)/10,4)</f>
        <v>6.2221000000000002</v>
      </c>
      <c r="F108" s="75"/>
      <c r="H108" s="28" t="s">
        <v>47</v>
      </c>
      <c r="I108" s="101">
        <f>+I71</f>
        <v>5.1627999999999998</v>
      </c>
      <c r="J108" s="101">
        <f>+J71</f>
        <v>5.1627999999999998</v>
      </c>
      <c r="K108" s="53" t="s">
        <v>51</v>
      </c>
    </row>
    <row r="109" spans="2:13" x14ac:dyDescent="0.2">
      <c r="B109" s="39" t="s">
        <v>85</v>
      </c>
      <c r="C109" s="124"/>
      <c r="D109" s="124"/>
      <c r="E109" s="124">
        <f>ROUND(($C$32*E72+F72)/10,4)</f>
        <v>3.7421000000000002</v>
      </c>
      <c r="F109" s="75"/>
      <c r="H109" s="28" t="s">
        <v>48</v>
      </c>
      <c r="I109" s="101">
        <f>+I72</f>
        <v>5.1627999999999998</v>
      </c>
      <c r="J109" s="101">
        <f>+J72</f>
        <v>5.1627999999999998</v>
      </c>
      <c r="K109" s="53" t="s">
        <v>51</v>
      </c>
    </row>
    <row r="110" spans="2:13" x14ac:dyDescent="0.2">
      <c r="C110" s="124"/>
      <c r="D110" s="124"/>
      <c r="E110" s="124"/>
      <c r="F110" s="75"/>
      <c r="H110" s="28"/>
      <c r="I110" s="102"/>
      <c r="J110" s="102"/>
      <c r="K110" s="53"/>
    </row>
    <row r="111" spans="2:13" x14ac:dyDescent="0.2">
      <c r="B111" s="19" t="s">
        <v>24</v>
      </c>
      <c r="C111" s="124">
        <f>ROUND(($C$32*C74+D74)/10,4)</f>
        <v>5.8681999999999999</v>
      </c>
      <c r="D111" s="124"/>
      <c r="E111" s="124"/>
      <c r="F111" s="75"/>
      <c r="H111" s="56" t="s">
        <v>29</v>
      </c>
      <c r="I111" s="58"/>
      <c r="J111" s="58"/>
    </row>
    <row r="112" spans="2:13" x14ac:dyDescent="0.2">
      <c r="B112" s="39" t="s">
        <v>84</v>
      </c>
      <c r="C112" s="124"/>
      <c r="D112" s="124"/>
      <c r="E112" s="124">
        <f>ROUND(($C$32*E75+F75)/10,4)</f>
        <v>6.6632999999999996</v>
      </c>
      <c r="F112" s="75"/>
      <c r="H112" s="28" t="s">
        <v>49</v>
      </c>
      <c r="I112" s="101">
        <f>+I75</f>
        <v>7.6464999999999996</v>
      </c>
      <c r="J112" s="101">
        <f>+J75</f>
        <v>7.6464999999999996</v>
      </c>
      <c r="K112" s="53" t="s">
        <v>52</v>
      </c>
    </row>
    <row r="113" spans="1:12" x14ac:dyDescent="0.2">
      <c r="B113" s="39" t="s">
        <v>85</v>
      </c>
      <c r="C113" s="124"/>
      <c r="D113" s="124"/>
      <c r="E113" s="124">
        <f>ROUND(($C$32*E76+F76)/10,4)</f>
        <v>4.5479000000000003</v>
      </c>
      <c r="F113" s="75"/>
    </row>
    <row r="114" spans="1:12" x14ac:dyDescent="0.2">
      <c r="C114" s="76"/>
      <c r="D114" s="74"/>
      <c r="E114" s="76"/>
      <c r="F114" s="74"/>
    </row>
    <row r="115" spans="1:12" x14ac:dyDescent="0.2">
      <c r="C115" s="76"/>
      <c r="D115" s="74"/>
      <c r="E115" s="76"/>
      <c r="F115" s="74"/>
    </row>
    <row r="117" spans="1:12" x14ac:dyDescent="0.2">
      <c r="A117" s="123" t="s">
        <v>244</v>
      </c>
      <c r="B117" s="6" t="s">
        <v>245</v>
      </c>
      <c r="C117" s="61"/>
      <c r="E117" s="61"/>
    </row>
    <row r="118" spans="1:12" x14ac:dyDescent="0.2">
      <c r="C118" s="61"/>
      <c r="E118" s="61"/>
    </row>
    <row r="119" spans="1:12" x14ac:dyDescent="0.2">
      <c r="C119" s="18" t="s">
        <v>0</v>
      </c>
      <c r="D119" s="18" t="s">
        <v>1</v>
      </c>
      <c r="E119" s="18" t="s">
        <v>2</v>
      </c>
      <c r="F119" s="18" t="s">
        <v>3</v>
      </c>
      <c r="G119" s="18" t="s">
        <v>4</v>
      </c>
      <c r="H119" s="18" t="s">
        <v>6</v>
      </c>
      <c r="I119" s="18" t="s">
        <v>37</v>
      </c>
      <c r="J119" s="18" t="s">
        <v>38</v>
      </c>
    </row>
    <row r="120" spans="1:12" x14ac:dyDescent="0.2">
      <c r="B120" s="1" t="s">
        <v>246</v>
      </c>
    </row>
    <row r="121" spans="1:12" x14ac:dyDescent="0.2">
      <c r="B121" s="36" t="s">
        <v>53</v>
      </c>
      <c r="C121" s="47">
        <f>+C93/100*bid_factors!O53+auction_results_and_rates!C94/100*bid_factors!O54</f>
        <v>551113.92463171296</v>
      </c>
      <c r="D121" s="47">
        <f>+D93/100*bid_factors!P53+auction_results_and_rates!D94/100*bid_factors!P54</f>
        <v>2188.698094672854</v>
      </c>
      <c r="E121" s="69">
        <f>+E90/100*bid_factors!Q50+E91/100*bid_factors!Q51</f>
        <v>10639.86206001033</v>
      </c>
      <c r="F121" s="47">
        <f>+F89/100*bid_factors!R49</f>
        <v>13.176999</v>
      </c>
      <c r="G121" s="47">
        <f>+G89/100*bid_factors!S49</f>
        <v>0.22044999999999998</v>
      </c>
      <c r="H121" s="47">
        <f>+H89/100*bid_factors!T49</f>
        <v>242.67945272655237</v>
      </c>
      <c r="I121" s="47">
        <f>+I89/100*bid_factors!U49</f>
        <v>1711.9460879999999</v>
      </c>
      <c r="J121" s="47">
        <f>+J89/100*bid_factors!V49</f>
        <v>3126.8655760000001</v>
      </c>
    </row>
    <row r="122" spans="1:12" ht="15" x14ac:dyDescent="0.35">
      <c r="B122" s="36" t="s">
        <v>54</v>
      </c>
      <c r="C122" s="48">
        <f>+C96/100*bid_factors!O45</f>
        <v>743249.99652681046</v>
      </c>
      <c r="D122" s="48">
        <f>+D96/100*bid_factors!P45</f>
        <v>7672.3498995966474</v>
      </c>
      <c r="E122" s="48">
        <f>+E97/100*bid_factors!Q46+auction_results_and_rates!E98/100*bid_factors!Q47</f>
        <v>12960.516445294857</v>
      </c>
      <c r="F122" s="48">
        <f>+F96/100*bid_factors!R45</f>
        <v>38.587198999999998</v>
      </c>
      <c r="G122" s="48">
        <f>+G96/100*bid_factors!S45</f>
        <v>0.71062599999999998</v>
      </c>
      <c r="H122" s="48">
        <f>+H96/100*bid_factors!T45</f>
        <v>918.07574174924059</v>
      </c>
      <c r="I122" s="48">
        <f>+I96/100*bid_factors!U45</f>
        <v>5452.1877500000001</v>
      </c>
      <c r="J122" s="48">
        <f>+J96/100*bid_factors!V45</f>
        <v>10463.08505</v>
      </c>
    </row>
    <row r="123" spans="1:12" x14ac:dyDescent="0.2">
      <c r="B123" s="36" t="s">
        <v>19</v>
      </c>
      <c r="C123" s="2">
        <f>+C122+C121</f>
        <v>1294363.9211585233</v>
      </c>
      <c r="D123" s="2">
        <f t="shared" ref="D123:J123" si="3">+D122+D121</f>
        <v>9861.0479942695019</v>
      </c>
      <c r="E123" s="2">
        <f t="shared" si="3"/>
        <v>23600.378505305187</v>
      </c>
      <c r="F123" s="2">
        <f t="shared" si="3"/>
        <v>51.764198</v>
      </c>
      <c r="G123" s="2">
        <f t="shared" si="3"/>
        <v>0.93107600000000001</v>
      </c>
      <c r="H123" s="2">
        <f t="shared" si="3"/>
        <v>1160.7551944757929</v>
      </c>
      <c r="I123" s="2">
        <f t="shared" si="3"/>
        <v>7164.1338379999997</v>
      </c>
      <c r="J123" s="2">
        <f t="shared" si="3"/>
        <v>13589.950626</v>
      </c>
    </row>
    <row r="124" spans="1:12" x14ac:dyDescent="0.2">
      <c r="B124" s="36"/>
      <c r="C124" s="2"/>
      <c r="D124" s="2"/>
      <c r="E124" s="2"/>
      <c r="F124" s="2"/>
      <c r="G124" s="2"/>
      <c r="H124" s="2"/>
      <c r="I124" s="2"/>
      <c r="J124" s="2"/>
      <c r="K124" s="2"/>
      <c r="L124" s="2"/>
    </row>
    <row r="125" spans="1:12" x14ac:dyDescent="0.2">
      <c r="B125" s="36"/>
      <c r="C125" s="2"/>
      <c r="D125" s="2"/>
      <c r="E125" s="2"/>
      <c r="F125" s="2"/>
      <c r="G125" s="2"/>
      <c r="H125" s="2"/>
      <c r="I125" s="2"/>
      <c r="J125" s="2"/>
      <c r="K125" s="2"/>
      <c r="L125" s="2"/>
    </row>
    <row r="126" spans="1:12" x14ac:dyDescent="0.2">
      <c r="B126" s="36"/>
      <c r="C126" s="18" t="s">
        <v>5</v>
      </c>
      <c r="D126" s="18" t="s">
        <v>5</v>
      </c>
      <c r="F126" s="18" t="s">
        <v>36</v>
      </c>
      <c r="G126" s="18" t="s">
        <v>36</v>
      </c>
      <c r="H126" s="2"/>
      <c r="I126" s="2"/>
      <c r="J126" s="2"/>
      <c r="K126" s="2"/>
      <c r="L126" s="2"/>
    </row>
    <row r="127" spans="1:12" x14ac:dyDescent="0.2">
      <c r="B127" s="36"/>
      <c r="C127" s="18" t="s">
        <v>252</v>
      </c>
      <c r="D127" s="18" t="s">
        <v>253</v>
      </c>
      <c r="F127" s="18" t="s">
        <v>252</v>
      </c>
      <c r="G127" s="18" t="s">
        <v>253</v>
      </c>
      <c r="H127" s="2"/>
      <c r="I127" s="2"/>
      <c r="J127" s="2"/>
      <c r="K127" s="2"/>
      <c r="L127" s="2"/>
    </row>
    <row r="128" spans="1:12" x14ac:dyDescent="0.2">
      <c r="B128" s="36"/>
      <c r="G128" s="2"/>
      <c r="H128" s="2"/>
      <c r="I128" s="2"/>
      <c r="J128" s="2"/>
      <c r="K128" s="2"/>
      <c r="L128" s="2"/>
    </row>
    <row r="129" spans="2:12" x14ac:dyDescent="0.2">
      <c r="B129" s="36" t="s">
        <v>53</v>
      </c>
      <c r="C129" s="69">
        <f>+C107/100*bid_factors!W49</f>
        <v>125542.86227926062</v>
      </c>
      <c r="D129" s="69">
        <f>I108*bid_factors!K147*4+auction_results_and_rates!I112*bid_factors!K149*4</f>
        <v>96636.236039999989</v>
      </c>
      <c r="F129" s="69">
        <f>+E108/100*bid_factors!X50+auction_results_and_rates!E109/100*bid_factors!X51</f>
        <v>84244.25502849849</v>
      </c>
      <c r="G129" s="69">
        <f>auction_results_and_rates!J108*bid_factors!L147*4+auction_results_and_rates!J112*bid_factors!L149*4</f>
        <v>47531.805919999999</v>
      </c>
      <c r="H129" s="2"/>
      <c r="I129" s="2"/>
      <c r="J129" s="2"/>
      <c r="K129" s="2"/>
      <c r="L129" s="2"/>
    </row>
    <row r="130" spans="2:12" ht="15" x14ac:dyDescent="0.35">
      <c r="B130" s="36" t="s">
        <v>54</v>
      </c>
      <c r="C130" s="100">
        <f>+C111/100*bid_factors!W45</f>
        <v>236175.63252527756</v>
      </c>
      <c r="D130" s="100">
        <f>auction_results_and_rates!I109*bid_factors!K147*8+auction_results_and_rates!I112*bid_factors!K149*8</f>
        <v>193272.47207999998</v>
      </c>
      <c r="F130" s="100">
        <f>+E112/100*bid_factors!X46+auction_results_and_rates!E113/100*bid_factors!X47</f>
        <v>168342.50458806165</v>
      </c>
      <c r="G130" s="100">
        <f>auction_results_and_rates!J109*bid_factors!L147*8+auction_results_and_rates!J112*bid_factors!L149*8</f>
        <v>95063.611839999998</v>
      </c>
      <c r="H130" s="2"/>
      <c r="I130" s="2"/>
      <c r="J130" s="2"/>
      <c r="K130" s="2"/>
      <c r="L130" s="2"/>
    </row>
    <row r="131" spans="2:12" x14ac:dyDescent="0.2">
      <c r="B131" s="36" t="s">
        <v>19</v>
      </c>
      <c r="C131" s="2">
        <f>+C130+C129</f>
        <v>361718.4948045382</v>
      </c>
      <c r="D131" s="2">
        <f>+D130+D129</f>
        <v>289908.70811999997</v>
      </c>
      <c r="F131" s="2">
        <f>+F130+F129</f>
        <v>252586.75961656013</v>
      </c>
      <c r="G131" s="2">
        <f>+G130+G129</f>
        <v>142595.41775999998</v>
      </c>
      <c r="H131" s="2"/>
      <c r="I131" s="2"/>
      <c r="J131" s="2"/>
      <c r="K131" s="2"/>
      <c r="L131" s="2"/>
    </row>
    <row r="132" spans="2:12" x14ac:dyDescent="0.2">
      <c r="B132" s="36"/>
      <c r="C132" s="2"/>
      <c r="F132" s="2"/>
      <c r="G132" s="2"/>
      <c r="H132" s="2"/>
      <c r="I132" s="2"/>
      <c r="J132" s="2"/>
      <c r="K132" s="2"/>
      <c r="L132" s="2"/>
    </row>
    <row r="133" spans="2:12" x14ac:dyDescent="0.2">
      <c r="B133" s="36"/>
      <c r="C133" s="2"/>
      <c r="D133" s="2"/>
      <c r="E133" s="2"/>
      <c r="F133" s="2"/>
      <c r="G133" s="2"/>
      <c r="H133" s="2"/>
      <c r="I133" s="2"/>
      <c r="J133" s="2"/>
      <c r="K133" s="2"/>
      <c r="L133" s="2"/>
    </row>
    <row r="134" spans="2:12" x14ac:dyDescent="0.2">
      <c r="B134" s="36"/>
      <c r="C134" s="18" t="s">
        <v>252</v>
      </c>
      <c r="D134" s="18" t="s">
        <v>253</v>
      </c>
      <c r="E134" s="18" t="s">
        <v>254</v>
      </c>
      <c r="F134" s="2"/>
      <c r="G134" s="2"/>
      <c r="H134" s="2"/>
      <c r="I134" s="2"/>
      <c r="J134" s="2"/>
      <c r="K134" s="2"/>
      <c r="L134" s="2"/>
    </row>
    <row r="135" spans="2:12" x14ac:dyDescent="0.2">
      <c r="B135" s="36" t="s">
        <v>170</v>
      </c>
      <c r="C135" s="2">
        <f>SUM(C121:J121)+C129+F129</f>
        <v>778824.49065988173</v>
      </c>
      <c r="D135" s="2">
        <f>+D129+G129</f>
        <v>144168.04196</v>
      </c>
      <c r="E135" s="2">
        <f>+C135+D135</f>
        <v>922992.53261988168</v>
      </c>
      <c r="F135" s="2"/>
      <c r="G135" s="2"/>
      <c r="H135" s="2"/>
      <c r="I135" s="2"/>
      <c r="J135" s="2"/>
      <c r="K135" s="2"/>
      <c r="L135" s="2"/>
    </row>
    <row r="136" spans="2:12" ht="15" x14ac:dyDescent="0.35">
      <c r="B136" s="36" t="s">
        <v>171</v>
      </c>
      <c r="C136" s="99">
        <f>SUM(C122:J122)+C130+F130</f>
        <v>1185273.6463517903</v>
      </c>
      <c r="D136" s="99">
        <f>+D130+G130</f>
        <v>288336.08392</v>
      </c>
      <c r="E136" s="99">
        <f>+C136+D136</f>
        <v>1473609.7302717902</v>
      </c>
    </row>
    <row r="137" spans="2:12" x14ac:dyDescent="0.2">
      <c r="B137" s="36" t="s">
        <v>172</v>
      </c>
      <c r="C137" s="2">
        <f>+C136+C135</f>
        <v>1964098.1370116719</v>
      </c>
      <c r="D137" s="2">
        <f>+D131+G131</f>
        <v>432504.12587999995</v>
      </c>
      <c r="E137" s="274">
        <f>+C137+D137</f>
        <v>2396602.2628916716</v>
      </c>
    </row>
    <row r="138" spans="2:12" x14ac:dyDescent="0.2">
      <c r="B138" s="36"/>
      <c r="C138" s="61"/>
      <c r="E138" s="61"/>
    </row>
    <row r="139" spans="2:12" x14ac:dyDescent="0.2">
      <c r="C139" s="18"/>
      <c r="D139" s="18"/>
      <c r="E139" s="18"/>
      <c r="F139" s="18"/>
      <c r="G139" s="18"/>
      <c r="H139" s="18"/>
      <c r="I139" s="18"/>
      <c r="J139" s="18"/>
      <c r="K139" s="18"/>
      <c r="L139" s="18"/>
    </row>
    <row r="140" spans="2:12" x14ac:dyDescent="0.2">
      <c r="B140" s="1" t="s">
        <v>125</v>
      </c>
    </row>
    <row r="141" spans="2:12" x14ac:dyDescent="0.2">
      <c r="B141" s="36" t="s">
        <v>53</v>
      </c>
      <c r="C141" s="2">
        <f>+C24+D24+E24</f>
        <v>962954.18219758663</v>
      </c>
    </row>
    <row r="142" spans="2:12" ht="15" x14ac:dyDescent="0.35">
      <c r="B142" s="36" t="s">
        <v>54</v>
      </c>
      <c r="C142" s="99">
        <f>+C25+D25+E25</f>
        <v>1434041.2561678072</v>
      </c>
      <c r="E142" s="111"/>
      <c r="F142" s="112"/>
      <c r="G142" s="112"/>
      <c r="H142" s="113"/>
    </row>
    <row r="143" spans="2:12" x14ac:dyDescent="0.2">
      <c r="B143" s="36" t="s">
        <v>19</v>
      </c>
      <c r="C143" s="2">
        <f>+C142+C141</f>
        <v>2396995.4383653938</v>
      </c>
      <c r="E143" s="114" t="s">
        <v>255</v>
      </c>
      <c r="F143" s="115"/>
      <c r="G143" s="115"/>
      <c r="H143" s="125"/>
    </row>
    <row r="144" spans="2:12" x14ac:dyDescent="0.2">
      <c r="C144" s="61"/>
      <c r="E144" s="114" t="s">
        <v>247</v>
      </c>
      <c r="F144" s="116" t="s">
        <v>251</v>
      </c>
      <c r="G144" s="115"/>
      <c r="H144" s="125"/>
    </row>
    <row r="145" spans="1:10" x14ac:dyDescent="0.2">
      <c r="B145" s="4" t="s">
        <v>224</v>
      </c>
      <c r="C145" s="110"/>
      <c r="D145" s="110"/>
      <c r="E145" s="126" t="s">
        <v>248</v>
      </c>
      <c r="F145" s="115"/>
      <c r="G145" s="115"/>
      <c r="H145" s="125"/>
    </row>
    <row r="146" spans="1:10" x14ac:dyDescent="0.2">
      <c r="B146" s="36" t="s">
        <v>53</v>
      </c>
      <c r="C146" s="2">
        <f>+C141-E135</f>
        <v>39961.649577704957</v>
      </c>
      <c r="D146" s="105"/>
      <c r="E146" s="275">
        <f>ROUND(1+(C146/C135),5)</f>
        <v>1.05131</v>
      </c>
      <c r="F146" s="115"/>
      <c r="G146" s="115"/>
      <c r="H146" s="125"/>
    </row>
    <row r="147" spans="1:10" ht="15" x14ac:dyDescent="0.35">
      <c r="B147" s="36" t="s">
        <v>54</v>
      </c>
      <c r="C147" s="99">
        <f>+C142-E136</f>
        <v>-39568.474103983026</v>
      </c>
      <c r="D147" s="105"/>
      <c r="E147" s="275">
        <f>ROUND(1+(C147/C136),5)</f>
        <v>0.96662000000000003</v>
      </c>
      <c r="F147" s="115"/>
      <c r="G147" s="115"/>
      <c r="H147" s="125"/>
    </row>
    <row r="148" spans="1:10" x14ac:dyDescent="0.2">
      <c r="B148" s="36" t="s">
        <v>19</v>
      </c>
      <c r="C148" s="2">
        <f>+C143-E137</f>
        <v>393.17547372216359</v>
      </c>
      <c r="D148" s="105"/>
      <c r="E148" s="127"/>
      <c r="F148" s="128"/>
      <c r="G148" s="128"/>
      <c r="H148" s="129"/>
    </row>
    <row r="150" spans="1:10" x14ac:dyDescent="0.2">
      <c r="C150" s="1" t="s">
        <v>226</v>
      </c>
    </row>
    <row r="151" spans="1:10" x14ac:dyDescent="0.2">
      <c r="C151" s="1" t="s">
        <v>227</v>
      </c>
    </row>
    <row r="153" spans="1:10" x14ac:dyDescent="0.2">
      <c r="A153" s="123" t="s">
        <v>256</v>
      </c>
      <c r="B153" s="97" t="s">
        <v>295</v>
      </c>
      <c r="C153" s="61"/>
      <c r="E153" s="61"/>
    </row>
    <row r="154" spans="1:10" x14ac:dyDescent="0.2">
      <c r="B154" s="7" t="s">
        <v>225</v>
      </c>
    </row>
    <row r="156" spans="1:10" x14ac:dyDescent="0.2">
      <c r="B156" s="6" t="s">
        <v>201</v>
      </c>
    </row>
    <row r="157" spans="1:10" x14ac:dyDescent="0.2">
      <c r="B157" s="7" t="s">
        <v>249</v>
      </c>
    </row>
    <row r="158" spans="1:10" x14ac:dyDescent="0.2">
      <c r="B158" s="6"/>
    </row>
    <row r="159" spans="1:10" x14ac:dyDescent="0.2">
      <c r="C159" s="18" t="str">
        <f>+C119</f>
        <v>RS</v>
      </c>
      <c r="D159" s="18" t="str">
        <f t="shared" ref="D159:J159" si="4">+D119</f>
        <v>RHS</v>
      </c>
      <c r="E159" s="18" t="str">
        <f t="shared" si="4"/>
        <v>RLM</v>
      </c>
      <c r="F159" s="18" t="str">
        <f t="shared" si="4"/>
        <v>WH</v>
      </c>
      <c r="G159" s="18" t="str">
        <f t="shared" si="4"/>
        <v>WHS</v>
      </c>
      <c r="H159" s="18" t="str">
        <f t="shared" si="4"/>
        <v>HS</v>
      </c>
      <c r="I159" s="18" t="str">
        <f t="shared" si="4"/>
        <v>PSAL</v>
      </c>
      <c r="J159" s="18" t="str">
        <f t="shared" si="4"/>
        <v>BPL</v>
      </c>
    </row>
    <row r="160" spans="1:10" x14ac:dyDescent="0.2">
      <c r="C160" s="123"/>
      <c r="D160" s="123"/>
      <c r="E160" s="123"/>
      <c r="F160" s="124"/>
      <c r="G160" s="124"/>
      <c r="H160" s="124"/>
      <c r="I160" s="124"/>
      <c r="J160" s="124"/>
    </row>
    <row r="161" spans="2:10" x14ac:dyDescent="0.2">
      <c r="B161" s="19" t="s">
        <v>23</v>
      </c>
      <c r="C161" s="123"/>
      <c r="D161" s="123"/>
      <c r="E161" s="123"/>
      <c r="F161" s="124">
        <f>ROUND(+F89*$E$146,4)</f>
        <v>4.6642999999999999</v>
      </c>
      <c r="G161" s="124">
        <f>ROUND(+G89*$E$146,4)</f>
        <v>4.6352000000000002</v>
      </c>
      <c r="H161" s="124">
        <f>ROUND(+H89*$E$146,4)</f>
        <v>9.3872999999999998</v>
      </c>
      <c r="I161" s="124">
        <f>ROUND(+I89*$E$146,4)</f>
        <v>4.1775000000000002</v>
      </c>
      <c r="J161" s="124">
        <f>ROUND(+J89*$E$146,4)</f>
        <v>4.1775000000000002</v>
      </c>
    </row>
    <row r="162" spans="2:10" x14ac:dyDescent="0.2">
      <c r="B162" s="39" t="s">
        <v>84</v>
      </c>
      <c r="C162" s="123"/>
      <c r="D162" s="123"/>
      <c r="E162" s="124">
        <f>ROUND(+E90*$E$146,4)</f>
        <v>20.546700000000001</v>
      </c>
      <c r="G162" s="124"/>
      <c r="H162" s="124"/>
      <c r="I162" s="124"/>
      <c r="J162" s="123"/>
    </row>
    <row r="163" spans="2:10" x14ac:dyDescent="0.2">
      <c r="B163" s="39" t="s">
        <v>85</v>
      </c>
      <c r="C163" s="123"/>
      <c r="D163" s="123"/>
      <c r="E163" s="124">
        <f>ROUND(+E91*$E$146,4)</f>
        <v>3.9340999999999999</v>
      </c>
      <c r="F163" s="123"/>
      <c r="G163" s="123"/>
      <c r="H163" s="123"/>
      <c r="I163" s="123"/>
      <c r="J163" s="123"/>
    </row>
    <row r="164" spans="2:10" x14ac:dyDescent="0.2">
      <c r="B164" s="63"/>
      <c r="C164" s="123"/>
      <c r="D164" s="123"/>
      <c r="E164" s="123"/>
      <c r="F164" s="123"/>
      <c r="G164" s="123"/>
      <c r="H164" s="123"/>
      <c r="I164" s="123"/>
      <c r="J164" s="123"/>
    </row>
    <row r="165" spans="2:10" x14ac:dyDescent="0.2">
      <c r="B165" s="90" t="s">
        <v>166</v>
      </c>
      <c r="C165" s="124">
        <f>ROUND(+C93*$E$146,4)</f>
        <v>10.517099999999999</v>
      </c>
      <c r="D165" s="124">
        <f>ROUND(+D93*$E$146,4)</f>
        <v>8.0547000000000004</v>
      </c>
      <c r="E165" s="123"/>
      <c r="F165" s="123"/>
      <c r="G165" s="123"/>
      <c r="H165" s="123"/>
      <c r="I165" s="123"/>
      <c r="J165" s="123"/>
    </row>
    <row r="166" spans="2:10" x14ac:dyDescent="0.2">
      <c r="B166" s="90" t="s">
        <v>167</v>
      </c>
      <c r="C166" s="124">
        <f>ROUND(+C94*$E$146,4)</f>
        <v>11.4267</v>
      </c>
      <c r="D166" s="124">
        <f>ROUND(+D94*$E$146,4)</f>
        <v>9.2710000000000008</v>
      </c>
      <c r="E166" s="123"/>
      <c r="F166" s="123"/>
      <c r="G166" s="123"/>
      <c r="H166" s="123"/>
      <c r="I166" s="123"/>
      <c r="J166" s="123"/>
    </row>
    <row r="167" spans="2:10" x14ac:dyDescent="0.2">
      <c r="C167" s="124"/>
      <c r="D167" s="124"/>
      <c r="E167" s="123"/>
      <c r="F167" s="123"/>
      <c r="G167" s="123"/>
      <c r="H167" s="123"/>
      <c r="I167" s="123"/>
      <c r="J167" s="123"/>
    </row>
    <row r="168" spans="2:10" x14ac:dyDescent="0.2">
      <c r="B168" s="19" t="s">
        <v>24</v>
      </c>
      <c r="C168" s="124">
        <f>ROUND(+C96*$E$147,4)</f>
        <v>10.520099999999999</v>
      </c>
      <c r="D168" s="124">
        <f>ROUND(+D96*$E$147,4)</f>
        <v>8.5145999999999997</v>
      </c>
      <c r="E168" s="123"/>
      <c r="F168" s="124">
        <f>ROUND(+F96*$E$147,4)</f>
        <v>4.8884999999999996</v>
      </c>
      <c r="G168" s="124">
        <f>ROUND(+G96*$E$147,4)</f>
        <v>4.9065000000000003</v>
      </c>
      <c r="H168" s="124">
        <f>ROUND(+H96*$E$147,4)</f>
        <v>9.1951000000000001</v>
      </c>
      <c r="I168" s="124">
        <f>ROUND(+I96*$E$147,4)</f>
        <v>4.6736000000000004</v>
      </c>
      <c r="J168" s="124">
        <f>ROUND(+J96*$E$147,4)</f>
        <v>4.6736000000000004</v>
      </c>
    </row>
    <row r="169" spans="2:10" x14ac:dyDescent="0.2">
      <c r="B169" s="39" t="s">
        <v>84</v>
      </c>
      <c r="C169" s="123"/>
      <c r="D169" s="123"/>
      <c r="E169" s="124">
        <f>ROUND(+E97*$E$147,4)</f>
        <v>19.267499999999998</v>
      </c>
      <c r="F169" s="123"/>
      <c r="G169" s="123"/>
      <c r="H169" s="123"/>
      <c r="I169" s="123"/>
      <c r="J169" s="123"/>
    </row>
    <row r="170" spans="2:10" x14ac:dyDescent="0.2">
      <c r="B170" s="39" t="s">
        <v>85</v>
      </c>
      <c r="C170" s="123"/>
      <c r="D170" s="123"/>
      <c r="E170" s="124">
        <f>ROUND(+E98*$E$147,4)</f>
        <v>4.4408000000000003</v>
      </c>
      <c r="F170" s="123"/>
      <c r="G170" s="123"/>
      <c r="H170" s="123"/>
      <c r="I170" s="123"/>
      <c r="J170" s="123"/>
    </row>
    <row r="171" spans="2:10" x14ac:dyDescent="0.2">
      <c r="C171" s="123"/>
      <c r="D171" s="123"/>
      <c r="E171" s="124"/>
      <c r="F171" s="123"/>
      <c r="G171" s="123"/>
      <c r="H171" s="123"/>
      <c r="I171" s="123"/>
      <c r="J171" s="123"/>
    </row>
    <row r="174" spans="2:10" x14ac:dyDescent="0.2">
      <c r="B174" s="6" t="s">
        <v>202</v>
      </c>
    </row>
    <row r="175" spans="2:10" x14ac:dyDescent="0.2">
      <c r="B175" s="7" t="s">
        <v>250</v>
      </c>
    </row>
    <row r="176" spans="2:10" x14ac:dyDescent="0.2">
      <c r="B176" s="11"/>
    </row>
    <row r="177" spans="1:12" x14ac:dyDescent="0.2">
      <c r="C177" s="18" t="str">
        <f>+C105</f>
        <v>GLP</v>
      </c>
      <c r="D177" s="18"/>
      <c r="E177" s="18" t="str">
        <f>+E105</f>
        <v>LPL-S</v>
      </c>
      <c r="F177" s="18"/>
      <c r="H177" s="6" t="s">
        <v>31</v>
      </c>
      <c r="I177" s="18" t="str">
        <f>+C177</f>
        <v>GLP</v>
      </c>
      <c r="J177" s="18" t="str">
        <f>+E177</f>
        <v>LPL-S</v>
      </c>
    </row>
    <row r="178" spans="1:12" x14ac:dyDescent="0.2">
      <c r="F178" s="70"/>
    </row>
    <row r="179" spans="1:12" x14ac:dyDescent="0.2">
      <c r="B179" s="19" t="s">
        <v>23</v>
      </c>
      <c r="C179" s="124">
        <f>ROUND(+C107*$E$146,4)</f>
        <v>5.5023</v>
      </c>
      <c r="D179" s="124"/>
      <c r="E179" s="124"/>
      <c r="F179" s="74"/>
      <c r="H179" s="56" t="s">
        <v>28</v>
      </c>
    </row>
    <row r="180" spans="1:12" x14ac:dyDescent="0.2">
      <c r="B180" s="39" t="s">
        <v>84</v>
      </c>
      <c r="C180" s="124"/>
      <c r="D180" s="124"/>
      <c r="E180" s="124">
        <f>ROUND(+E108*$E$146,4)</f>
        <v>6.5414000000000003</v>
      </c>
      <c r="F180" s="75"/>
      <c r="H180" s="28" t="s">
        <v>47</v>
      </c>
      <c r="I180" s="143">
        <f>+I108</f>
        <v>5.1627999999999998</v>
      </c>
      <c r="J180" s="143">
        <f>+J108</f>
        <v>5.1627999999999998</v>
      </c>
    </row>
    <row r="181" spans="1:12" x14ac:dyDescent="0.2">
      <c r="B181" s="39" t="s">
        <v>85</v>
      </c>
      <c r="C181" s="124"/>
      <c r="D181" s="124"/>
      <c r="E181" s="124">
        <f>ROUND(+E109*$E$146,4)</f>
        <v>3.9340999999999999</v>
      </c>
      <c r="F181" s="75"/>
      <c r="H181" s="28" t="s">
        <v>48</v>
      </c>
      <c r="I181" s="143">
        <f>+I109</f>
        <v>5.1627999999999998</v>
      </c>
      <c r="J181" s="143">
        <f>+J109</f>
        <v>5.1627999999999998</v>
      </c>
    </row>
    <row r="182" spans="1:12" x14ac:dyDescent="0.2">
      <c r="C182" s="124"/>
      <c r="D182" s="124"/>
      <c r="E182" s="124"/>
      <c r="F182" s="75"/>
      <c r="H182" s="28"/>
      <c r="I182" s="102"/>
      <c r="J182" s="102"/>
    </row>
    <row r="183" spans="1:12" x14ac:dyDescent="0.2">
      <c r="B183" s="19" t="s">
        <v>24</v>
      </c>
      <c r="C183" s="124">
        <f>ROUND(+C111*$E$147,4)</f>
        <v>5.6722999999999999</v>
      </c>
      <c r="D183" s="124"/>
      <c r="E183" s="124"/>
      <c r="F183" s="75"/>
      <c r="H183" s="56" t="s">
        <v>29</v>
      </c>
      <c r="I183" s="58"/>
      <c r="J183" s="58"/>
    </row>
    <row r="184" spans="1:12" x14ac:dyDescent="0.2">
      <c r="B184" s="39" t="s">
        <v>84</v>
      </c>
      <c r="C184" s="124"/>
      <c r="D184" s="124"/>
      <c r="E184" s="124">
        <f>ROUND(+E112*$E$147,4)</f>
        <v>6.4409000000000001</v>
      </c>
      <c r="F184" s="75"/>
      <c r="H184" s="28" t="s">
        <v>49</v>
      </c>
      <c r="I184" s="143">
        <f>+I112</f>
        <v>7.6464999999999996</v>
      </c>
      <c r="J184" s="143">
        <f>+J112</f>
        <v>7.6464999999999996</v>
      </c>
    </row>
    <row r="185" spans="1:12" x14ac:dyDescent="0.2">
      <c r="B185" s="39" t="s">
        <v>85</v>
      </c>
      <c r="C185" s="124"/>
      <c r="D185" s="124"/>
      <c r="E185" s="124">
        <f>ROUND(+E113*$E$147,4)</f>
        <v>4.3960999999999997</v>
      </c>
      <c r="F185" s="75"/>
    </row>
    <row r="189" spans="1:12" x14ac:dyDescent="0.2">
      <c r="A189" s="123" t="s">
        <v>259</v>
      </c>
      <c r="B189" s="6" t="s">
        <v>257</v>
      </c>
      <c r="C189" s="61"/>
      <c r="E189" s="61"/>
    </row>
    <row r="190" spans="1:12" x14ac:dyDescent="0.2">
      <c r="C190" s="61"/>
      <c r="E190" s="61"/>
    </row>
    <row r="191" spans="1:12" x14ac:dyDescent="0.2">
      <c r="C191" s="18" t="s">
        <v>0</v>
      </c>
      <c r="D191" s="18" t="s">
        <v>1</v>
      </c>
      <c r="E191" s="18" t="s">
        <v>2</v>
      </c>
      <c r="F191" s="18" t="s">
        <v>3</v>
      </c>
      <c r="G191" s="18" t="s">
        <v>4</v>
      </c>
      <c r="H191" s="18" t="s">
        <v>6</v>
      </c>
      <c r="I191" s="18" t="s">
        <v>37</v>
      </c>
      <c r="J191" s="18" t="s">
        <v>38</v>
      </c>
      <c r="K191" s="18" t="s">
        <v>5</v>
      </c>
      <c r="L191" s="18" t="s">
        <v>36</v>
      </c>
    </row>
    <row r="192" spans="1:12" x14ac:dyDescent="0.2">
      <c r="B192" s="1" t="s">
        <v>124</v>
      </c>
    </row>
    <row r="193" spans="2:12" x14ac:dyDescent="0.2">
      <c r="B193" s="36" t="s">
        <v>53</v>
      </c>
      <c r="C193" s="47">
        <f>+C165/100*bid_factors!O53+auction_results_and_rates!C166/100*bid_factors!O54</f>
        <v>579391.97289340559</v>
      </c>
      <c r="D193" s="47">
        <f>+D165/100*bid_factors!P53+auction_results_and_rates!D166/100*bid_factors!P54</f>
        <v>2300.999594694706</v>
      </c>
      <c r="E193" s="69">
        <f>+E162/100*bid_factors!Q50+E163/100*bid_factors!Q51</f>
        <v>11185.791023702639</v>
      </c>
      <c r="F193" s="47">
        <f>+F161/100*bid_factors!R49</f>
        <v>13.852970999999998</v>
      </c>
      <c r="G193" s="47">
        <f>+G161/100*bid_factors!S49</f>
        <v>0.23176000000000002</v>
      </c>
      <c r="H193" s="47">
        <f>+H161/100*bid_factors!T49</f>
        <v>255.13263672486198</v>
      </c>
      <c r="I193" s="47">
        <f>+I161/100*bid_factors!U49</f>
        <v>1799.7923249999999</v>
      </c>
      <c r="J193" s="47">
        <f>+J161/100*bid_factors!V49</f>
        <v>3287.3165250000002</v>
      </c>
      <c r="K193" s="69">
        <f>+C179/100*bid_factors!W49+I180*bid_factors!K147*4+auction_results_and_rates!I184*bid_factors!K149*4</f>
        <v>228619.59251506129</v>
      </c>
      <c r="L193" s="69">
        <f>+E180/100*bid_factors!X50+auction_results_and_rates!E181/100*bid_factors!X51+auction_results_and_rates!J180*bid_factors!L147*4+auction_results_and_rates!J184*bid_factors!L149*4</f>
        <v>136098.95251866532</v>
      </c>
    </row>
    <row r="194" spans="2:12" ht="15" x14ac:dyDescent="0.35">
      <c r="B194" s="36" t="s">
        <v>54</v>
      </c>
      <c r="C194" s="48">
        <f>+C168/100*bid_factors!O45</f>
        <v>718439.48476227082</v>
      </c>
      <c r="D194" s="48">
        <f>+D168/100*bid_factors!P45</f>
        <v>7416.2739203852616</v>
      </c>
      <c r="E194" s="48">
        <f>+E169/100*bid_factors!Q46+auction_results_and_rates!E170/100*bid_factors!Q47</f>
        <v>12527.844751097233</v>
      </c>
      <c r="F194" s="48">
        <f>+F168/100*bid_factors!R45</f>
        <v>37.299254999999995</v>
      </c>
      <c r="G194" s="48">
        <f>+G168/100*bid_factors!S45</f>
        <v>0.68691000000000002</v>
      </c>
      <c r="H194" s="48">
        <f>+H168/100*bid_factors!T45</f>
        <v>887.43332558484985</v>
      </c>
      <c r="I194" s="48">
        <f>+I168/100*bid_factors!U45</f>
        <v>5270.1850400000012</v>
      </c>
      <c r="J194" s="48">
        <f>+J168/100*bid_factors!V45</f>
        <v>10113.810608000002</v>
      </c>
      <c r="K194" s="100">
        <f>+C183/100*bid_factors!W45+auction_results_and_rates!I181*bid_factors!K147*8+auction_results_and_rates!I184*bid_factors!K149*8</f>
        <v>421563.777825055</v>
      </c>
      <c r="L194" s="100">
        <f>+E184/100*bid_factors!X46+auction_results_and_rates!E185/100*bid_factors!X47+auction_results_and_rates!J181*bid_factors!L147*8+auction_results_and_rates!J184*bid_factors!L149*8</f>
        <v>257787.29087752063</v>
      </c>
    </row>
    <row r="195" spans="2:12" x14ac:dyDescent="0.2">
      <c r="B195" s="36" t="s">
        <v>19</v>
      </c>
      <c r="C195" s="2">
        <f t="shared" ref="C195:L195" si="5">+C194+C193</f>
        <v>1297831.4576556764</v>
      </c>
      <c r="D195" s="2">
        <f t="shared" si="5"/>
        <v>9717.2735150799672</v>
      </c>
      <c r="E195" s="2">
        <f t="shared" si="5"/>
        <v>23713.63577479987</v>
      </c>
      <c r="F195" s="2">
        <f t="shared" si="5"/>
        <v>51.152225999999992</v>
      </c>
      <c r="G195" s="2">
        <f t="shared" si="5"/>
        <v>0.9186700000000001</v>
      </c>
      <c r="H195" s="2">
        <f t="shared" si="5"/>
        <v>1142.5659623097117</v>
      </c>
      <c r="I195" s="2">
        <f t="shared" si="5"/>
        <v>7069.9773650000006</v>
      </c>
      <c r="J195" s="2">
        <f t="shared" si="5"/>
        <v>13401.127133000002</v>
      </c>
      <c r="K195" s="2">
        <f t="shared" si="5"/>
        <v>650183.37034011632</v>
      </c>
      <c r="L195" s="2">
        <f t="shared" si="5"/>
        <v>393886.24339618592</v>
      </c>
    </row>
    <row r="196" spans="2:12" x14ac:dyDescent="0.2">
      <c r="B196" s="36"/>
      <c r="C196" s="2"/>
      <c r="D196" s="2"/>
      <c r="E196" s="2"/>
      <c r="F196" s="2"/>
      <c r="G196" s="2"/>
      <c r="H196" s="2"/>
      <c r="I196" s="2"/>
      <c r="J196" s="2"/>
      <c r="K196" s="2"/>
      <c r="L196" s="2"/>
    </row>
    <row r="197" spans="2:12" x14ac:dyDescent="0.2">
      <c r="B197" s="36" t="s">
        <v>170</v>
      </c>
      <c r="C197" s="2">
        <f>SUM(C193:L193)</f>
        <v>962953.63476325443</v>
      </c>
      <c r="D197" s="2"/>
      <c r="E197" s="2"/>
      <c r="F197" s="2"/>
      <c r="G197" s="2"/>
      <c r="H197" s="2"/>
      <c r="I197" s="2"/>
      <c r="J197" s="2"/>
      <c r="K197" s="2"/>
      <c r="L197" s="2"/>
    </row>
    <row r="198" spans="2:12" ht="15" x14ac:dyDescent="0.35">
      <c r="B198" s="36" t="s">
        <v>171</v>
      </c>
      <c r="C198" s="99">
        <f>SUM(C194:L194)</f>
        <v>1434044.0872749139</v>
      </c>
      <c r="E198" s="61"/>
    </row>
    <row r="199" spans="2:12" x14ac:dyDescent="0.2">
      <c r="B199" s="36" t="s">
        <v>172</v>
      </c>
      <c r="C199" s="2">
        <f>+C198+C197</f>
        <v>2396997.7220381685</v>
      </c>
      <c r="E199" s="61"/>
    </row>
    <row r="200" spans="2:12" x14ac:dyDescent="0.2">
      <c r="B200" s="36"/>
      <c r="C200" s="61"/>
      <c r="E200" s="61"/>
    </row>
    <row r="201" spans="2:12" x14ac:dyDescent="0.2">
      <c r="C201" s="18"/>
      <c r="D201" s="18"/>
      <c r="E201" s="18"/>
      <c r="F201" s="18"/>
      <c r="G201" s="18"/>
      <c r="H201" s="18"/>
      <c r="I201" s="18"/>
      <c r="J201" s="18"/>
      <c r="K201" s="18"/>
      <c r="L201" s="18"/>
    </row>
    <row r="202" spans="2:12" x14ac:dyDescent="0.2">
      <c r="B202" s="1" t="s">
        <v>125</v>
      </c>
    </row>
    <row r="203" spans="2:12" x14ac:dyDescent="0.2">
      <c r="B203" s="36" t="s">
        <v>53</v>
      </c>
      <c r="C203" s="2">
        <f>+C24+D24+E24</f>
        <v>962954.18219758663</v>
      </c>
    </row>
    <row r="204" spans="2:12" ht="15" x14ac:dyDescent="0.35">
      <c r="B204" s="36" t="s">
        <v>54</v>
      </c>
      <c r="C204" s="99">
        <f>+C25+D25+E25</f>
        <v>1434041.2561678072</v>
      </c>
    </row>
    <row r="205" spans="2:12" x14ac:dyDescent="0.2">
      <c r="B205" s="36" t="s">
        <v>19</v>
      </c>
      <c r="C205" s="2">
        <f>+C204+C203</f>
        <v>2396995.4383653938</v>
      </c>
      <c r="D205" s="2"/>
      <c r="G205" s="36"/>
    </row>
    <row r="206" spans="2:12" x14ac:dyDescent="0.2">
      <c r="C206" s="61"/>
      <c r="E206" s="61"/>
      <c r="G206" s="36"/>
    </row>
    <row r="207" spans="2:12" x14ac:dyDescent="0.2">
      <c r="B207" s="4" t="s">
        <v>224</v>
      </c>
      <c r="C207" s="2"/>
      <c r="E207" s="88" t="s">
        <v>228</v>
      </c>
      <c r="G207" s="88"/>
    </row>
    <row r="208" spans="2:12" x14ac:dyDescent="0.2">
      <c r="B208" s="36" t="s">
        <v>53</v>
      </c>
      <c r="C208" s="2">
        <f>+C197-C203</f>
        <v>-0.54743433219846338</v>
      </c>
      <c r="E208" s="105">
        <f>+C208/C197</f>
        <v>-5.6849500581931139E-7</v>
      </c>
    </row>
    <row r="209" spans="2:5" ht="15" x14ac:dyDescent="0.35">
      <c r="B209" s="36" t="s">
        <v>54</v>
      </c>
      <c r="C209" s="99">
        <f>+C198-C204</f>
        <v>2.8311071067582816</v>
      </c>
      <c r="E209" s="109">
        <f>+C209/C198</f>
        <v>1.9742120426284658E-6</v>
      </c>
    </row>
    <row r="210" spans="2:5" x14ac:dyDescent="0.2">
      <c r="B210" s="36" t="s">
        <v>19</v>
      </c>
      <c r="C210" s="2">
        <f>+C199-C205</f>
        <v>2.2836727746762335</v>
      </c>
      <c r="E210" s="105">
        <f>+C210/C199</f>
        <v>9.5272212972085153E-7</v>
      </c>
    </row>
    <row r="212" spans="2:5" x14ac:dyDescent="0.2">
      <c r="C212" s="84"/>
    </row>
  </sheetData>
  <customSheetViews>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mergeCells count="3">
    <mergeCell ref="Q6:Q17"/>
    <mergeCell ref="P6:P17"/>
    <mergeCell ref="O6:O17"/>
  </mergeCells>
  <phoneticPr fontId="0" type="noConversion"/>
  <pageMargins left="0.75" right="0.75" top="1" bottom="1" header="0.5" footer="0.5"/>
  <pageSetup scale="73" fitToHeight="0" orientation="landscape" r:id="rId5"/>
  <headerFooter alignWithMargins="0">
    <oddHeader>&amp;CPublic Service Electric and Gas Company Specific Addendum
Attachment 3</oddHeader>
    <oddFooter>&amp;CPage &amp;P of &amp;N</oddFooter>
  </headerFooter>
  <rowBreaks count="7" manualBreakCount="7">
    <brk id="40" max="11" man="1"/>
    <brk id="79" max="11" man="1"/>
    <brk id="115" max="11" man="1"/>
    <brk id="151" max="11" man="1"/>
    <brk id="187" max="11"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Input</vt:lpstr>
      <vt:lpstr>bid_factors</vt:lpstr>
      <vt:lpstr>auction_results_and_rates</vt:lpstr>
      <vt:lpstr>auction_results_and_rates!Print_Area</vt:lpstr>
      <vt:lpstr>bid_factors!Print_Area</vt:lpstr>
      <vt:lpstr>Input!Print_Area</vt:lpstr>
      <vt:lpstr>auction_results_and_rates!Print_Titles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Northcutt, Rachel</cp:lastModifiedBy>
  <cp:lastPrinted>2017-02-03T14:12:46Z</cp:lastPrinted>
  <dcterms:created xsi:type="dcterms:W3CDTF">2002-02-27T17:48:59Z</dcterms:created>
  <dcterms:modified xsi:type="dcterms:W3CDTF">2018-01-17T15:54:47Z</dcterms:modified>
</cp:coreProperties>
</file>