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870"/>
  <workbookPr codeName="ThisWorkbook"/>
  <mc:AlternateContent xmlns:mc="http://schemas.openxmlformats.org/markup-compatibility/2006">
    <mc:Choice Requires="x15">
      <x15ac:absPath xmlns:x15ac="http://schemas.microsoft.com/office/spreadsheetml/2010/11/ac" url="U:\Corp\Rates\MGO\BGS PT Yr 16\Ori Jun 30 Filing\"/>
    </mc:Choice>
  </mc:AlternateContent>
  <bookViews>
    <workbookView xWindow="0" yWindow="0" windowWidth="23040" windowHeight="9876" activeTab="4"/>
  </bookViews>
  <sheets>
    <sheet name="BGS PTY14 Cost Alloc" sheetId="13" r:id="rId1"/>
    <sheet name="BGS PTY15 Cost Alloc" sheetId="11" r:id="rId2"/>
    <sheet name="BGS PTY16 Cost Alloc" sheetId="10" r:id="rId3"/>
    <sheet name="BGS PTY15 4yr Cong" sheetId="25" state="hidden" r:id="rId4"/>
    <sheet name="Composite Cost Allocation" sheetId="14" r:id="rId5"/>
    <sheet name="Composite 4yr Cong" sheetId="26" state="hidden" r:id="rId6"/>
    <sheet name="E &amp; C Prices" sheetId="17" state="hidden" r:id="rId7"/>
    <sheet name="Overall Avg Prices" sheetId="18" state="hidden" r:id="rId8"/>
  </sheets>
  <definedNames>
    <definedName name="_xlnm.Print_Area" localSheetId="0">'BGS PTY14 Cost Alloc'!$A$1:$L$331</definedName>
    <definedName name="_xlnm.Print_Area" localSheetId="3">'BGS PTY15 4yr Cong'!$A$1:$L$329</definedName>
    <definedName name="_xlnm.Print_Area" localSheetId="1">'BGS PTY15 Cost Alloc'!$A$1:$L$330</definedName>
    <definedName name="_xlnm.Print_Area" localSheetId="2">'BGS PTY16 Cost Alloc'!$A$1:$L$329</definedName>
    <definedName name="_xlnm.Print_Area" localSheetId="5">'Composite 4yr Cong'!$A$1:$Y$211</definedName>
    <definedName name="_xlnm.Print_Area" localSheetId="4">'Composite Cost Allocation'!$A$1:$Y$180</definedName>
    <definedName name="_xlnm.Print_Area" localSheetId="6">'E &amp; C Prices'!$A$3:$M$43</definedName>
    <definedName name="_xlnm.Print_Area" localSheetId="7">'Overall Avg Prices'!$A$1:$N$57</definedName>
  </definedNames>
  <calcPr calcId="171027"/>
</workbook>
</file>

<file path=xl/calcChain.xml><?xml version="1.0" encoding="utf-8"?>
<calcChain xmlns="http://schemas.openxmlformats.org/spreadsheetml/2006/main">
  <c r="D193" i="11" l="1"/>
  <c r="Q15" i="10" l="1"/>
  <c r="B330" i="11" l="1"/>
  <c r="B331" i="13"/>
  <c r="X164" i="26" l="1"/>
  <c r="X186" i="26" s="1"/>
  <c r="W164" i="26"/>
  <c r="W186" i="26" s="1"/>
  <c r="V164" i="26"/>
  <c r="V186" i="26" s="1"/>
  <c r="U164" i="26"/>
  <c r="U186" i="26" s="1"/>
  <c r="T164" i="26"/>
  <c r="T186" i="26" s="1"/>
  <c r="I164" i="26"/>
  <c r="I186" i="26" s="1"/>
  <c r="H164" i="26"/>
  <c r="H186" i="26" s="1"/>
  <c r="G164" i="26"/>
  <c r="G186" i="26" s="1"/>
  <c r="F164" i="26"/>
  <c r="F186" i="26" s="1"/>
  <c r="E164" i="26"/>
  <c r="E186" i="26" s="1"/>
  <c r="B157" i="26"/>
  <c r="B156" i="26"/>
  <c r="X131" i="26"/>
  <c r="W131" i="26"/>
  <c r="V131" i="26"/>
  <c r="U131" i="26"/>
  <c r="T131" i="26"/>
  <c r="I131" i="26"/>
  <c r="H131" i="26"/>
  <c r="G131" i="26"/>
  <c r="F131" i="26"/>
  <c r="E131" i="26"/>
  <c r="E110" i="26"/>
  <c r="B53" i="26"/>
  <c r="B52" i="26"/>
  <c r="B51" i="26"/>
  <c r="B50" i="26"/>
  <c r="B49" i="26"/>
  <c r="B48" i="26"/>
  <c r="B47" i="26"/>
  <c r="B3" i="26"/>
  <c r="C315" i="25" l="1"/>
  <c r="C314" i="25"/>
  <c r="C311" i="25"/>
  <c r="B288" i="25"/>
  <c r="B287" i="25"/>
  <c r="I266" i="25"/>
  <c r="H266" i="25"/>
  <c r="G266" i="25"/>
  <c r="F266" i="25"/>
  <c r="E266" i="25"/>
  <c r="B242" i="25"/>
  <c r="B241" i="25"/>
  <c r="I220" i="25"/>
  <c r="H220" i="25"/>
  <c r="G220" i="25"/>
  <c r="F220" i="25"/>
  <c r="E220" i="25"/>
  <c r="B212" i="25"/>
  <c r="B211" i="25"/>
  <c r="I201" i="25"/>
  <c r="H201" i="25"/>
  <c r="G201" i="25"/>
  <c r="F201" i="25"/>
  <c r="E201" i="25"/>
  <c r="F196" i="25"/>
  <c r="C316" i="25" s="1"/>
  <c r="U193" i="25"/>
  <c r="AX189" i="25"/>
  <c r="C187" i="25"/>
  <c r="U186" i="25"/>
  <c r="U185" i="25"/>
  <c r="D180" i="25"/>
  <c r="H175" i="25"/>
  <c r="E174" i="25"/>
  <c r="Q172" i="25"/>
  <c r="W172" i="25" s="1"/>
  <c r="W167" i="25"/>
  <c r="Q167" i="25"/>
  <c r="I166" i="25"/>
  <c r="H166" i="25"/>
  <c r="G166" i="25"/>
  <c r="F166" i="25"/>
  <c r="E166" i="25"/>
  <c r="Z162" i="25"/>
  <c r="AY150" i="25"/>
  <c r="AX150" i="25"/>
  <c r="AW150" i="25"/>
  <c r="AV150" i="25"/>
  <c r="AU150" i="25"/>
  <c r="T150" i="25"/>
  <c r="Q150" i="25"/>
  <c r="I150" i="25"/>
  <c r="H150" i="25"/>
  <c r="W150" i="25" s="1"/>
  <c r="G150" i="25"/>
  <c r="F150" i="25"/>
  <c r="E150" i="25"/>
  <c r="B144" i="25"/>
  <c r="U143" i="25"/>
  <c r="S143" i="25"/>
  <c r="B143" i="25"/>
  <c r="S139" i="25"/>
  <c r="U139" i="25" s="1"/>
  <c r="U135" i="25"/>
  <c r="S135" i="25"/>
  <c r="S131" i="25"/>
  <c r="U131" i="25" s="1"/>
  <c r="I128" i="25"/>
  <c r="H128" i="25"/>
  <c r="G128" i="25"/>
  <c r="F128" i="25"/>
  <c r="E128" i="25"/>
  <c r="S127" i="25"/>
  <c r="U127" i="25" s="1"/>
  <c r="S123" i="25"/>
  <c r="U123" i="25" s="1"/>
  <c r="S119" i="25"/>
  <c r="S115" i="25"/>
  <c r="S111" i="25"/>
  <c r="I110" i="25"/>
  <c r="H110" i="25"/>
  <c r="G110" i="25"/>
  <c r="F110" i="25"/>
  <c r="E110" i="25"/>
  <c r="B104" i="25"/>
  <c r="B103" i="25"/>
  <c r="Z95" i="25"/>
  <c r="X95" i="25"/>
  <c r="Y95" i="25" s="1"/>
  <c r="AA95" i="25" s="1"/>
  <c r="R95" i="25"/>
  <c r="Q95" i="25"/>
  <c r="I95" i="25"/>
  <c r="H95" i="25"/>
  <c r="G95" i="25"/>
  <c r="F95" i="25"/>
  <c r="E95" i="25"/>
  <c r="Z94" i="25"/>
  <c r="AA94" i="25" s="1"/>
  <c r="Y94" i="25"/>
  <c r="S94" i="25"/>
  <c r="S93" i="25"/>
  <c r="S95" i="25" s="1"/>
  <c r="I92" i="25"/>
  <c r="H92" i="25"/>
  <c r="G92" i="25"/>
  <c r="F92" i="25"/>
  <c r="E92" i="25"/>
  <c r="I90" i="25"/>
  <c r="H90" i="25"/>
  <c r="D90" i="25"/>
  <c r="E90" i="25" s="1"/>
  <c r="I89" i="25"/>
  <c r="H89" i="25"/>
  <c r="D89" i="25"/>
  <c r="E89" i="25" s="1"/>
  <c r="I88" i="25"/>
  <c r="H88" i="25"/>
  <c r="D88" i="25"/>
  <c r="E88" i="25" s="1"/>
  <c r="AG87" i="25"/>
  <c r="Z87" i="25"/>
  <c r="Y87" i="25"/>
  <c r="X87" i="25"/>
  <c r="D87" i="25"/>
  <c r="E87" i="25" s="1"/>
  <c r="AG86" i="25"/>
  <c r="W86" i="25"/>
  <c r="V86" i="25" s="1"/>
  <c r="D86" i="25"/>
  <c r="E86" i="25" s="1"/>
  <c r="AG85" i="25"/>
  <c r="W85" i="25"/>
  <c r="V85" i="25" s="1"/>
  <c r="I85" i="25"/>
  <c r="I86" i="25" s="1"/>
  <c r="I87" i="25" s="1"/>
  <c r="H85" i="25"/>
  <c r="H86" i="25" s="1"/>
  <c r="H87" i="25" s="1"/>
  <c r="D85" i="25"/>
  <c r="E85" i="25" s="1"/>
  <c r="AG84" i="25"/>
  <c r="W84" i="25"/>
  <c r="V84" i="25"/>
  <c r="E84" i="25"/>
  <c r="AG83" i="25"/>
  <c r="W83" i="25"/>
  <c r="V83" i="25"/>
  <c r="I83" i="25"/>
  <c r="H83" i="25"/>
  <c r="D83" i="25"/>
  <c r="E83" i="25" s="1"/>
  <c r="AG82" i="25"/>
  <c r="W82" i="25"/>
  <c r="V82" i="25" s="1"/>
  <c r="I82" i="25"/>
  <c r="H82" i="25"/>
  <c r="D82" i="25"/>
  <c r="E82" i="25" s="1"/>
  <c r="AG81" i="25"/>
  <c r="W81" i="25"/>
  <c r="V81" i="25"/>
  <c r="I81" i="25"/>
  <c r="H81" i="25"/>
  <c r="D81" i="25"/>
  <c r="E81" i="25" s="1"/>
  <c r="AG80" i="25"/>
  <c r="W80" i="25"/>
  <c r="V80" i="25" s="1"/>
  <c r="I80" i="25"/>
  <c r="H80" i="25"/>
  <c r="D80" i="25"/>
  <c r="E80" i="25" s="1"/>
  <c r="AG79" i="25"/>
  <c r="W79" i="25"/>
  <c r="V79" i="25"/>
  <c r="Q79" i="25"/>
  <c r="E79" i="25"/>
  <c r="AG78" i="25"/>
  <c r="W78" i="25"/>
  <c r="V78" i="25"/>
  <c r="AG77" i="25"/>
  <c r="AD77" i="25"/>
  <c r="W77" i="25"/>
  <c r="V77" i="25"/>
  <c r="AG76" i="25"/>
  <c r="W76" i="25"/>
  <c r="V76" i="25"/>
  <c r="W75" i="25"/>
  <c r="V75" i="25" s="1"/>
  <c r="AL72" i="25"/>
  <c r="AK72" i="25"/>
  <c r="AF72" i="25"/>
  <c r="AD72" i="25"/>
  <c r="AB72" i="25"/>
  <c r="Z72" i="25"/>
  <c r="X72" i="25"/>
  <c r="W72" i="25"/>
  <c r="AC71" i="25"/>
  <c r="Y71" i="25"/>
  <c r="I71" i="25"/>
  <c r="G71" i="25"/>
  <c r="F71" i="25"/>
  <c r="AC70" i="25"/>
  <c r="G70" i="25" s="1"/>
  <c r="Y70" i="25"/>
  <c r="I70" i="25"/>
  <c r="F70" i="25"/>
  <c r="AC69" i="25"/>
  <c r="Y69" i="25"/>
  <c r="I69" i="25"/>
  <c r="G69" i="25"/>
  <c r="F69" i="25"/>
  <c r="AC68" i="25"/>
  <c r="G68" i="25" s="1"/>
  <c r="Y68" i="25"/>
  <c r="I68" i="25"/>
  <c r="F68" i="25"/>
  <c r="AC67" i="25"/>
  <c r="Y67" i="25"/>
  <c r="Q67" i="25"/>
  <c r="I67" i="25"/>
  <c r="AY152" i="25" s="1"/>
  <c r="G67" i="25"/>
  <c r="AW152" i="25" s="1"/>
  <c r="F67" i="25"/>
  <c r="AC66" i="25"/>
  <c r="G66" i="25" s="1"/>
  <c r="Y66" i="25"/>
  <c r="I66" i="25"/>
  <c r="F66" i="25"/>
  <c r="AC65" i="25"/>
  <c r="G65" i="25" s="1"/>
  <c r="Y65" i="25"/>
  <c r="I65" i="25"/>
  <c r="F65" i="25"/>
  <c r="R64" i="25" s="1"/>
  <c r="AC64" i="25"/>
  <c r="G64" i="25" s="1"/>
  <c r="Y64" i="25"/>
  <c r="I64" i="25"/>
  <c r="F64" i="25"/>
  <c r="AC63" i="25"/>
  <c r="G63" i="25" s="1"/>
  <c r="Y63" i="25"/>
  <c r="Q63" i="25"/>
  <c r="I63" i="25"/>
  <c r="F63" i="25"/>
  <c r="AC62" i="25"/>
  <c r="G62" i="25" s="1"/>
  <c r="Y62" i="25"/>
  <c r="I62" i="25"/>
  <c r="F62" i="25"/>
  <c r="AC61" i="25"/>
  <c r="G61" i="25" s="1"/>
  <c r="Y61" i="25"/>
  <c r="Y72" i="25" s="1"/>
  <c r="I61" i="25"/>
  <c r="F61" i="25"/>
  <c r="AC60" i="25"/>
  <c r="G60" i="25" s="1"/>
  <c r="Y60" i="25"/>
  <c r="I60" i="25"/>
  <c r="F60" i="25"/>
  <c r="U58" i="25"/>
  <c r="I58" i="25"/>
  <c r="G58" i="25"/>
  <c r="F58" i="25"/>
  <c r="E58" i="25"/>
  <c r="B53" i="25"/>
  <c r="B52" i="25"/>
  <c r="S31" i="25"/>
  <c r="I31" i="25"/>
  <c r="H31" i="25"/>
  <c r="G31" i="25"/>
  <c r="F31" i="25"/>
  <c r="E31" i="25"/>
  <c r="T30" i="25"/>
  <c r="Q30" i="25"/>
  <c r="U26" i="25"/>
  <c r="T26" i="25"/>
  <c r="S26" i="25"/>
  <c r="R26" i="25"/>
  <c r="Q26" i="25"/>
  <c r="U25" i="25"/>
  <c r="T25" i="25"/>
  <c r="S25" i="25"/>
  <c r="R25" i="25"/>
  <c r="Q25" i="25"/>
  <c r="U24" i="25"/>
  <c r="T24" i="25"/>
  <c r="S24" i="25"/>
  <c r="R24" i="25"/>
  <c r="Q24" i="25"/>
  <c r="U23" i="25"/>
  <c r="T23" i="25"/>
  <c r="S23" i="25"/>
  <c r="R23" i="25"/>
  <c r="Q23" i="25"/>
  <c r="U22" i="25"/>
  <c r="T22" i="25"/>
  <c r="S22" i="25"/>
  <c r="R22" i="25"/>
  <c r="Q22" i="25"/>
  <c r="U21" i="25"/>
  <c r="T21" i="25"/>
  <c r="S21" i="25"/>
  <c r="R21" i="25"/>
  <c r="Q21" i="25"/>
  <c r="U20" i="25"/>
  <c r="T20" i="25"/>
  <c r="S20" i="25"/>
  <c r="R20" i="25"/>
  <c r="Q20" i="25"/>
  <c r="U19" i="25"/>
  <c r="T19" i="25"/>
  <c r="S19" i="25"/>
  <c r="R19" i="25"/>
  <c r="Q19" i="25"/>
  <c r="U18" i="25"/>
  <c r="T18" i="25"/>
  <c r="S18" i="25"/>
  <c r="R18" i="25"/>
  <c r="Q18" i="25"/>
  <c r="U17" i="25"/>
  <c r="T17" i="25"/>
  <c r="S17" i="25"/>
  <c r="R17" i="25"/>
  <c r="Q17" i="25"/>
  <c r="U16" i="25"/>
  <c r="T16" i="25"/>
  <c r="S16" i="25"/>
  <c r="R16" i="25"/>
  <c r="Q16" i="25"/>
  <c r="U15" i="25"/>
  <c r="T15" i="25"/>
  <c r="S15" i="25"/>
  <c r="R15" i="25"/>
  <c r="Q15" i="25"/>
  <c r="U13" i="25"/>
  <c r="U31" i="25" s="1"/>
  <c r="T13" i="25"/>
  <c r="T31" i="25" s="1"/>
  <c r="S13" i="25"/>
  <c r="S58" i="25" s="1"/>
  <c r="R13" i="25"/>
  <c r="R58" i="25" s="1"/>
  <c r="Q13" i="25"/>
  <c r="Q31" i="25" s="1"/>
  <c r="F196" i="10"/>
  <c r="U60" i="25" l="1"/>
  <c r="T95" i="25"/>
  <c r="R65" i="25" s="1"/>
  <c r="AV152" i="25"/>
  <c r="AB86" i="25"/>
  <c r="AC86" i="25" s="1"/>
  <c r="R31" i="25"/>
  <c r="Q58" i="25"/>
  <c r="U64" i="25"/>
  <c r="Q69" i="25"/>
  <c r="Z150" i="25"/>
  <c r="AC150" i="25"/>
  <c r="G113" i="25"/>
  <c r="F118" i="25"/>
  <c r="F136" i="25" s="1"/>
  <c r="I116" i="25"/>
  <c r="I134" i="25" s="1"/>
  <c r="I156" i="25" s="1"/>
  <c r="G118" i="25"/>
  <c r="G136" i="25" s="1"/>
  <c r="F116" i="25"/>
  <c r="F134" i="25" s="1"/>
  <c r="F156" i="25" s="1"/>
  <c r="F112" i="25"/>
  <c r="G114" i="25"/>
  <c r="G132" i="25" s="1"/>
  <c r="AB83" i="25"/>
  <c r="AC83" i="25" s="1"/>
  <c r="AB82" i="25"/>
  <c r="AC82" i="25" s="1"/>
  <c r="AB81" i="25"/>
  <c r="AC81" i="25" s="1"/>
  <c r="AB77" i="25"/>
  <c r="AC77" i="25" s="1"/>
  <c r="AB76" i="25"/>
  <c r="AC76" i="25" s="1"/>
  <c r="AB85" i="25"/>
  <c r="AC85" i="25" s="1"/>
  <c r="AB79" i="25"/>
  <c r="AC79" i="25" s="1"/>
  <c r="AB80" i="25"/>
  <c r="AC80" i="25" s="1"/>
  <c r="G116" i="25"/>
  <c r="G134" i="25" s="1"/>
  <c r="G156" i="25" s="1"/>
  <c r="G72" i="25"/>
  <c r="S60" i="25"/>
  <c r="G117" i="25"/>
  <c r="G135" i="25" s="1"/>
  <c r="F114" i="25"/>
  <c r="F132" i="25" s="1"/>
  <c r="T58" i="25"/>
  <c r="AC72" i="25"/>
  <c r="V87" i="25"/>
  <c r="T79" i="25"/>
  <c r="AB78" i="25"/>
  <c r="AC78" i="25" s="1"/>
  <c r="W87" i="25"/>
  <c r="T162" i="25"/>
  <c r="Q162" i="25"/>
  <c r="AC162" i="25"/>
  <c r="C312" i="25"/>
  <c r="I118" i="25"/>
  <c r="I136" i="25" s="1"/>
  <c r="F117" i="25"/>
  <c r="F135" i="25" s="1"/>
  <c r="R60" i="25"/>
  <c r="G112" i="25"/>
  <c r="S64" i="25"/>
  <c r="T69" i="25"/>
  <c r="F72" i="25"/>
  <c r="AB75" i="25"/>
  <c r="AB84" i="25"/>
  <c r="AC84" i="25" s="1"/>
  <c r="I112" i="25"/>
  <c r="I113" i="25"/>
  <c r="I131" i="25" s="1"/>
  <c r="I117" i="25"/>
  <c r="I135" i="25" s="1"/>
  <c r="I114" i="25"/>
  <c r="I132" i="25" s="1"/>
  <c r="E98" i="25"/>
  <c r="G131" i="25"/>
  <c r="W162" i="25"/>
  <c r="I72" i="25"/>
  <c r="F113" i="25"/>
  <c r="F131" i="25" s="1"/>
  <c r="R66" i="25" l="1"/>
  <c r="E189" i="25" s="1"/>
  <c r="E190" i="25" s="1"/>
  <c r="H98" i="25"/>
  <c r="H97" i="25" s="1"/>
  <c r="E97" i="25"/>
  <c r="I98" i="25"/>
  <c r="I97" i="25" s="1"/>
  <c r="G98" i="25"/>
  <c r="G97" i="25" s="1"/>
  <c r="F98" i="25"/>
  <c r="F97" i="25" s="1"/>
  <c r="G120" i="25"/>
  <c r="G130" i="25"/>
  <c r="R181" i="25"/>
  <c r="AW156" i="25"/>
  <c r="AW168" i="25" s="1"/>
  <c r="AW160" i="25"/>
  <c r="T181" i="25"/>
  <c r="AY156" i="25"/>
  <c r="AY168" i="25" s="1"/>
  <c r="AY160" i="25"/>
  <c r="I120" i="25"/>
  <c r="I130" i="25"/>
  <c r="F130" i="25"/>
  <c r="F120" i="25"/>
  <c r="AV156" i="25"/>
  <c r="AV168" i="25" s="1"/>
  <c r="AV160" i="25"/>
  <c r="Q181" i="25"/>
  <c r="AC75" i="25"/>
  <c r="AC87" i="25" s="1"/>
  <c r="AB87" i="25"/>
  <c r="X95" i="10"/>
  <c r="Q188" i="25" l="1"/>
  <c r="Q187" i="25"/>
  <c r="F152" i="25"/>
  <c r="F138" i="25"/>
  <c r="R187" i="25"/>
  <c r="R188" i="25"/>
  <c r="T188" i="25"/>
  <c r="T187" i="25"/>
  <c r="G138" i="25"/>
  <c r="G152" i="25"/>
  <c r="I152" i="25"/>
  <c r="I138" i="25"/>
  <c r="G160" i="25" l="1"/>
  <c r="AW165" i="25"/>
  <c r="I160" i="25"/>
  <c r="AY165" i="25"/>
  <c r="F160" i="25"/>
  <c r="AV165" i="25"/>
  <c r="AW172" i="25" l="1"/>
  <c r="AW173" i="25" s="1"/>
  <c r="AV172" i="25"/>
  <c r="AV173" i="25" s="1"/>
  <c r="AY172" i="25"/>
  <c r="AY173" i="25" s="1"/>
  <c r="D180" i="10" l="1"/>
  <c r="E174" i="10"/>
  <c r="X87" i="10" l="1"/>
  <c r="E95" i="10"/>
  <c r="R15" i="10"/>
  <c r="Q16" i="10"/>
  <c r="R16" i="10"/>
  <c r="Q17" i="10"/>
  <c r="R17" i="10"/>
  <c r="I60" i="10"/>
  <c r="I60" i="11" s="1"/>
  <c r="I61" i="10"/>
  <c r="I61" i="13" s="1"/>
  <c r="I62" i="10"/>
  <c r="I62" i="13" s="1"/>
  <c r="I63" i="10"/>
  <c r="I63" i="13" s="1"/>
  <c r="I64" i="10"/>
  <c r="I64" i="11" s="1"/>
  <c r="I65" i="10"/>
  <c r="I66" i="10"/>
  <c r="I67" i="10"/>
  <c r="I67" i="13" s="1"/>
  <c r="I68" i="10"/>
  <c r="I68" i="11" s="1"/>
  <c r="I69" i="10"/>
  <c r="I69" i="13" s="1"/>
  <c r="I70" i="10"/>
  <c r="I70" i="13" s="1"/>
  <c r="I71" i="10"/>
  <c r="I71" i="11" s="1"/>
  <c r="W72" i="10"/>
  <c r="E116" i="26" s="1"/>
  <c r="E110" i="14"/>
  <c r="R95" i="10"/>
  <c r="F65" i="10"/>
  <c r="F65" i="11" s="1"/>
  <c r="F66" i="10"/>
  <c r="F66" i="11" s="1"/>
  <c r="F67" i="10"/>
  <c r="F67" i="13" s="1"/>
  <c r="F68" i="10"/>
  <c r="F68" i="11" s="1"/>
  <c r="S93" i="10"/>
  <c r="S94" i="10"/>
  <c r="Q95" i="10"/>
  <c r="F60" i="10"/>
  <c r="F60" i="13" s="1"/>
  <c r="F61" i="10"/>
  <c r="F61" i="11" s="1"/>
  <c r="F62" i="10"/>
  <c r="F62" i="11" s="1"/>
  <c r="F63" i="10"/>
  <c r="F63" i="11" s="1"/>
  <c r="F64" i="10"/>
  <c r="F64" i="11" s="1"/>
  <c r="F69" i="10"/>
  <c r="F69" i="11" s="1"/>
  <c r="F70" i="10"/>
  <c r="F70" i="11" s="1"/>
  <c r="F71" i="10"/>
  <c r="F71" i="11" s="1"/>
  <c r="L34" i="18"/>
  <c r="L32" i="18"/>
  <c r="L31" i="18"/>
  <c r="L29" i="18"/>
  <c r="L24" i="18"/>
  <c r="L27" i="18" s="1"/>
  <c r="L20" i="18"/>
  <c r="L21" i="18"/>
  <c r="A2" i="18"/>
  <c r="A1" i="18"/>
  <c r="I34" i="17"/>
  <c r="I32" i="17"/>
  <c r="I31" i="17"/>
  <c r="I29" i="17"/>
  <c r="I27" i="17"/>
  <c r="I25" i="17"/>
  <c r="I24" i="17"/>
  <c r="I22" i="17"/>
  <c r="I21" i="17"/>
  <c r="I20" i="17"/>
  <c r="A11" i="17"/>
  <c r="A2" i="17"/>
  <c r="A1" i="17"/>
  <c r="L22" i="18"/>
  <c r="E94" i="11"/>
  <c r="E95" i="11" s="1"/>
  <c r="E94" i="13"/>
  <c r="E95" i="13" s="1"/>
  <c r="F87" i="13"/>
  <c r="D87" i="13"/>
  <c r="F87" i="11"/>
  <c r="D87" i="11"/>
  <c r="E180" i="11"/>
  <c r="C313" i="11" s="1"/>
  <c r="AD72" i="10"/>
  <c r="E179" i="11"/>
  <c r="C312" i="11" s="1"/>
  <c r="T30" i="10"/>
  <c r="T30" i="11" s="1"/>
  <c r="Q30" i="10"/>
  <c r="Q30" i="13" s="1"/>
  <c r="X72" i="10"/>
  <c r="E179" i="13"/>
  <c r="C313" i="13" s="1"/>
  <c r="AG76" i="10"/>
  <c r="AG77" i="10"/>
  <c r="AG78" i="10"/>
  <c r="AG79" i="10"/>
  <c r="AG80" i="10"/>
  <c r="AG81" i="10"/>
  <c r="AG82" i="10"/>
  <c r="AG83" i="10"/>
  <c r="AG84" i="10"/>
  <c r="AG85" i="10"/>
  <c r="AG86" i="10"/>
  <c r="AG87" i="10"/>
  <c r="I90" i="11"/>
  <c r="I89" i="11"/>
  <c r="I88" i="11"/>
  <c r="H90" i="11"/>
  <c r="H89" i="11"/>
  <c r="H88" i="11"/>
  <c r="I87" i="11"/>
  <c r="H87" i="11"/>
  <c r="I86" i="11"/>
  <c r="I85" i="11"/>
  <c r="H86" i="11"/>
  <c r="H85" i="11"/>
  <c r="I83" i="11"/>
  <c r="I82" i="11"/>
  <c r="I81" i="11"/>
  <c r="I80" i="11"/>
  <c r="H83" i="11"/>
  <c r="H82" i="11"/>
  <c r="H81" i="11"/>
  <c r="H80" i="11"/>
  <c r="Y65" i="10"/>
  <c r="Y66" i="10"/>
  <c r="Y67" i="10"/>
  <c r="Y68" i="10"/>
  <c r="Y60" i="10"/>
  <c r="Y61" i="10"/>
  <c r="Y62" i="10"/>
  <c r="Y63" i="10"/>
  <c r="Y64" i="10"/>
  <c r="Y69" i="10"/>
  <c r="Y70" i="10"/>
  <c r="Y71" i="10"/>
  <c r="H85" i="10"/>
  <c r="H86" i="10" s="1"/>
  <c r="H87" i="10" s="1"/>
  <c r="H80" i="10"/>
  <c r="H81" i="10"/>
  <c r="H82" i="10"/>
  <c r="H83" i="10"/>
  <c r="G95" i="10"/>
  <c r="H88" i="10"/>
  <c r="H89" i="10"/>
  <c r="H90" i="10"/>
  <c r="F95" i="10"/>
  <c r="H95" i="10"/>
  <c r="I95" i="10"/>
  <c r="I164" i="14"/>
  <c r="H164" i="14"/>
  <c r="G164" i="14"/>
  <c r="F164" i="14"/>
  <c r="E164" i="14"/>
  <c r="AF72" i="10"/>
  <c r="AH71" i="11"/>
  <c r="AH70" i="11"/>
  <c r="AE71" i="11"/>
  <c r="AE70" i="11"/>
  <c r="W55" i="11"/>
  <c r="V71" i="11"/>
  <c r="V70" i="11"/>
  <c r="V69" i="11"/>
  <c r="V68" i="11"/>
  <c r="V67" i="11"/>
  <c r="V66" i="11"/>
  <c r="V65" i="11"/>
  <c r="V64" i="11"/>
  <c r="V63" i="11"/>
  <c r="V62" i="11"/>
  <c r="V61" i="11"/>
  <c r="V60" i="11"/>
  <c r="C322" i="11"/>
  <c r="C321" i="11"/>
  <c r="C320" i="11"/>
  <c r="B102" i="11"/>
  <c r="B165" i="11"/>
  <c r="B57" i="11"/>
  <c r="H30" i="11"/>
  <c r="E30" i="11"/>
  <c r="E10" i="11"/>
  <c r="B3" i="11"/>
  <c r="E193" i="11"/>
  <c r="C317" i="11" s="1"/>
  <c r="C316" i="11"/>
  <c r="C315" i="11"/>
  <c r="E300" i="11"/>
  <c r="F308" i="11" s="1"/>
  <c r="E19" i="11"/>
  <c r="Q19" i="11" s="1"/>
  <c r="D83" i="11"/>
  <c r="E15" i="11"/>
  <c r="Q15" i="11" s="1"/>
  <c r="E16" i="11"/>
  <c r="Q16" i="11" s="1"/>
  <c r="E17" i="11"/>
  <c r="Q17" i="11" s="1"/>
  <c r="E18" i="11"/>
  <c r="Q18" i="11" s="1"/>
  <c r="D79" i="11"/>
  <c r="D80" i="11"/>
  <c r="D81" i="11"/>
  <c r="D82" i="11"/>
  <c r="F83" i="11"/>
  <c r="F79" i="11"/>
  <c r="F80" i="11"/>
  <c r="F81" i="11"/>
  <c r="F82" i="11"/>
  <c r="E26" i="11"/>
  <c r="Q26" i="11" s="1"/>
  <c r="D90" i="11"/>
  <c r="E24" i="11"/>
  <c r="Q24" i="11" s="1"/>
  <c r="E25" i="11"/>
  <c r="Q25" i="11" s="1"/>
  <c r="D88" i="11"/>
  <c r="D89" i="11"/>
  <c r="F90" i="11"/>
  <c r="F88" i="11"/>
  <c r="F89" i="11"/>
  <c r="E200" i="11"/>
  <c r="W64" i="11"/>
  <c r="W60" i="11"/>
  <c r="W61" i="11"/>
  <c r="W62" i="11"/>
  <c r="X62" i="11"/>
  <c r="W63" i="11"/>
  <c r="W69" i="11"/>
  <c r="W70" i="11"/>
  <c r="W71" i="11"/>
  <c r="E23" i="11"/>
  <c r="Q23" i="11" s="1"/>
  <c r="E20" i="11"/>
  <c r="Q20" i="11" s="1"/>
  <c r="E21" i="11"/>
  <c r="Q21" i="11" s="1"/>
  <c r="E22" i="11"/>
  <c r="Q22" i="11" s="1"/>
  <c r="D84" i="11"/>
  <c r="D85" i="11"/>
  <c r="D86" i="11"/>
  <c r="F84" i="11"/>
  <c r="F85" i="11"/>
  <c r="F86" i="11"/>
  <c r="F19" i="11"/>
  <c r="R19" i="11" s="1"/>
  <c r="F15" i="11"/>
  <c r="R15" i="11" s="1"/>
  <c r="F16" i="11"/>
  <c r="R16" i="11" s="1"/>
  <c r="F17" i="11"/>
  <c r="R17" i="11" s="1"/>
  <c r="F18" i="11"/>
  <c r="R18" i="11" s="1"/>
  <c r="F94" i="11"/>
  <c r="F95" i="11" s="1"/>
  <c r="F26" i="11"/>
  <c r="R26" i="11" s="1"/>
  <c r="F24" i="11"/>
  <c r="R24" i="11" s="1"/>
  <c r="F25" i="11"/>
  <c r="R25" i="11" s="1"/>
  <c r="F200" i="11"/>
  <c r="G19" i="11"/>
  <c r="S19" i="11" s="1"/>
  <c r="G15" i="11"/>
  <c r="S15" i="11" s="1"/>
  <c r="G16" i="11"/>
  <c r="S16" i="11" s="1"/>
  <c r="G17" i="11"/>
  <c r="S17" i="11" s="1"/>
  <c r="G18" i="11"/>
  <c r="S18" i="11" s="1"/>
  <c r="G94" i="11"/>
  <c r="G95" i="11" s="1"/>
  <c r="G26" i="11"/>
  <c r="S26" i="11" s="1"/>
  <c r="G24" i="11"/>
  <c r="S24" i="11" s="1"/>
  <c r="G25" i="11"/>
  <c r="S25" i="11" s="1"/>
  <c r="G200" i="11"/>
  <c r="H19" i="11"/>
  <c r="T19" i="11" s="1"/>
  <c r="H15" i="11"/>
  <c r="T15" i="11" s="1"/>
  <c r="H16" i="11"/>
  <c r="T16" i="11" s="1"/>
  <c r="H17" i="11"/>
  <c r="T17" i="11" s="1"/>
  <c r="H18" i="11"/>
  <c r="T18" i="11" s="1"/>
  <c r="H26" i="11"/>
  <c r="T26" i="11" s="1"/>
  <c r="H24" i="11"/>
  <c r="T24" i="11" s="1"/>
  <c r="H25" i="11"/>
  <c r="T25" i="11" s="1"/>
  <c r="H94" i="11"/>
  <c r="H95" i="11" s="1"/>
  <c r="H200" i="11"/>
  <c r="I19" i="11"/>
  <c r="U19" i="11" s="1"/>
  <c r="I15" i="11"/>
  <c r="U15" i="11" s="1"/>
  <c r="I16" i="11"/>
  <c r="U16" i="11" s="1"/>
  <c r="I17" i="11"/>
  <c r="U17" i="11" s="1"/>
  <c r="I18" i="11"/>
  <c r="U18" i="11" s="1"/>
  <c r="I94" i="11"/>
  <c r="I95" i="11" s="1"/>
  <c r="I26" i="11"/>
  <c r="U26" i="11" s="1"/>
  <c r="I24" i="11"/>
  <c r="U24" i="11" s="1"/>
  <c r="I25" i="11"/>
  <c r="U25" i="11" s="1"/>
  <c r="I200" i="11"/>
  <c r="E299" i="11"/>
  <c r="F307" i="11" s="1"/>
  <c r="W68" i="11"/>
  <c r="W65" i="11"/>
  <c r="W66" i="11"/>
  <c r="W67" i="11"/>
  <c r="F23" i="11"/>
  <c r="F20" i="11"/>
  <c r="R20" i="11" s="1"/>
  <c r="F21" i="11"/>
  <c r="R21" i="11" s="1"/>
  <c r="F22" i="11"/>
  <c r="R22" i="11" s="1"/>
  <c r="R23" i="11"/>
  <c r="G23" i="11"/>
  <c r="S23" i="11" s="1"/>
  <c r="G20" i="11"/>
  <c r="S20" i="11" s="1"/>
  <c r="G21" i="11"/>
  <c r="S21" i="11" s="1"/>
  <c r="G22" i="11"/>
  <c r="S22" i="11" s="1"/>
  <c r="H23" i="11"/>
  <c r="H20" i="11"/>
  <c r="T20" i="11" s="1"/>
  <c r="H21" i="11"/>
  <c r="T21" i="11" s="1"/>
  <c r="H22" i="11"/>
  <c r="T22" i="11" s="1"/>
  <c r="T23" i="11"/>
  <c r="I23" i="11"/>
  <c r="I20" i="11"/>
  <c r="U20" i="11" s="1"/>
  <c r="I21" i="11"/>
  <c r="U21" i="11" s="1"/>
  <c r="I22" i="11"/>
  <c r="U22" i="11" s="1"/>
  <c r="U23" i="11"/>
  <c r="I293" i="11"/>
  <c r="H293" i="11"/>
  <c r="G293" i="11"/>
  <c r="F293" i="11"/>
  <c r="E293" i="11"/>
  <c r="B286" i="11"/>
  <c r="B285" i="11"/>
  <c r="I263" i="11"/>
  <c r="H263" i="11"/>
  <c r="G263" i="11"/>
  <c r="F263" i="11"/>
  <c r="E263" i="11"/>
  <c r="B239" i="11"/>
  <c r="B238" i="11"/>
  <c r="I217" i="11"/>
  <c r="H217" i="11"/>
  <c r="G217" i="11"/>
  <c r="F217" i="11"/>
  <c r="E217" i="11"/>
  <c r="B209" i="11"/>
  <c r="B208" i="11"/>
  <c r="I198" i="11"/>
  <c r="H198" i="11"/>
  <c r="G198" i="11"/>
  <c r="F198" i="11"/>
  <c r="E198" i="11"/>
  <c r="AX186" i="11"/>
  <c r="C184" i="11"/>
  <c r="H175" i="11"/>
  <c r="I166" i="11"/>
  <c r="H166" i="11"/>
  <c r="G166" i="11"/>
  <c r="F166" i="11"/>
  <c r="E166" i="11"/>
  <c r="E150" i="11"/>
  <c r="W162" i="11"/>
  <c r="AY150" i="11"/>
  <c r="AX150" i="11"/>
  <c r="AW150" i="11"/>
  <c r="AV150" i="11"/>
  <c r="AU150" i="11"/>
  <c r="H150" i="11"/>
  <c r="I150" i="11"/>
  <c r="G150" i="11"/>
  <c r="F150" i="11"/>
  <c r="B144" i="11"/>
  <c r="B143" i="11"/>
  <c r="I128" i="11"/>
  <c r="H128" i="11"/>
  <c r="G128" i="11"/>
  <c r="F128" i="11"/>
  <c r="E128" i="11"/>
  <c r="I110" i="11"/>
  <c r="H110" i="11"/>
  <c r="G110" i="11"/>
  <c r="F110" i="11"/>
  <c r="E110" i="11"/>
  <c r="B104" i="11"/>
  <c r="B103" i="11"/>
  <c r="X95" i="11"/>
  <c r="Y95" i="11" s="1"/>
  <c r="AA95" i="11" s="1"/>
  <c r="Z95" i="11"/>
  <c r="Y94" i="11"/>
  <c r="AA94" i="11" s="1"/>
  <c r="Z94" i="11"/>
  <c r="I92" i="11"/>
  <c r="H92" i="11"/>
  <c r="G92" i="11"/>
  <c r="F92" i="11"/>
  <c r="E92" i="11"/>
  <c r="X86" i="11"/>
  <c r="Y86" i="11"/>
  <c r="Z86" i="11"/>
  <c r="X85" i="11"/>
  <c r="Y85" i="11"/>
  <c r="Z85" i="11"/>
  <c r="X84" i="11"/>
  <c r="Y84" i="11"/>
  <c r="Z84" i="11"/>
  <c r="X83" i="11"/>
  <c r="Y83" i="11"/>
  <c r="Z83" i="11"/>
  <c r="X82" i="11"/>
  <c r="Y82" i="11"/>
  <c r="Z82" i="11"/>
  <c r="X81" i="11"/>
  <c r="Y81" i="11"/>
  <c r="Z81" i="11"/>
  <c r="X80" i="11"/>
  <c r="Y80" i="11"/>
  <c r="Z80" i="11"/>
  <c r="X79" i="11"/>
  <c r="Y79" i="11"/>
  <c r="Z79" i="11"/>
  <c r="T13" i="11"/>
  <c r="T31" i="11" s="1"/>
  <c r="T79" i="11"/>
  <c r="Q13" i="11"/>
  <c r="Q79" i="11"/>
  <c r="X78" i="11"/>
  <c r="Y78" i="11"/>
  <c r="Z78" i="11"/>
  <c r="AB65" i="11"/>
  <c r="AB66" i="11"/>
  <c r="AB67" i="11"/>
  <c r="AB68" i="11"/>
  <c r="X77" i="11"/>
  <c r="Y77" i="11"/>
  <c r="Z77" i="11"/>
  <c r="X76" i="11"/>
  <c r="Y76" i="11"/>
  <c r="Z76" i="11"/>
  <c r="X75" i="11"/>
  <c r="Y75" i="11"/>
  <c r="Z75" i="11"/>
  <c r="AD60" i="11"/>
  <c r="AD61" i="11"/>
  <c r="AD62" i="11"/>
  <c r="AD63" i="11"/>
  <c r="AD64" i="11"/>
  <c r="AD65" i="11"/>
  <c r="AD66" i="11"/>
  <c r="AD67" i="11"/>
  <c r="AD68" i="11"/>
  <c r="AD69" i="11"/>
  <c r="AD70" i="11"/>
  <c r="AD71" i="11"/>
  <c r="AB60" i="11"/>
  <c r="AB61" i="11"/>
  <c r="AB62" i="11"/>
  <c r="AB63" i="11"/>
  <c r="AB64" i="11"/>
  <c r="AB69" i="11"/>
  <c r="AB70" i="11"/>
  <c r="AB71" i="11"/>
  <c r="Z60" i="11"/>
  <c r="Z61" i="11"/>
  <c r="Z62" i="11"/>
  <c r="Z63" i="11"/>
  <c r="Z64" i="11"/>
  <c r="Z65" i="11"/>
  <c r="Z66" i="11"/>
  <c r="Z67" i="11"/>
  <c r="Z68" i="11"/>
  <c r="Z69" i="11"/>
  <c r="Z70" i="11"/>
  <c r="Z71" i="11"/>
  <c r="X60" i="11"/>
  <c r="X61" i="11"/>
  <c r="X63" i="11"/>
  <c r="X64" i="11"/>
  <c r="X65" i="11"/>
  <c r="X66" i="11"/>
  <c r="X67" i="11"/>
  <c r="X68" i="11"/>
  <c r="X69" i="11"/>
  <c r="X70" i="11"/>
  <c r="X71" i="11"/>
  <c r="Q69" i="11"/>
  <c r="U13" i="11"/>
  <c r="U58" i="11" s="1"/>
  <c r="S13" i="11"/>
  <c r="R13" i="11"/>
  <c r="R31" i="11" s="1"/>
  <c r="Q58" i="11"/>
  <c r="I58" i="11"/>
  <c r="G58" i="11"/>
  <c r="F58" i="11"/>
  <c r="E58" i="11"/>
  <c r="B53" i="11"/>
  <c r="B52" i="11"/>
  <c r="U31" i="11"/>
  <c r="Q31" i="11"/>
  <c r="I31" i="11"/>
  <c r="H31" i="11"/>
  <c r="G31" i="11"/>
  <c r="F31" i="11"/>
  <c r="E31" i="11"/>
  <c r="AE72" i="11"/>
  <c r="AH72" i="11"/>
  <c r="AH71" i="13"/>
  <c r="AH70" i="13"/>
  <c r="AE71" i="13"/>
  <c r="AE70" i="13"/>
  <c r="W55" i="13"/>
  <c r="V71" i="13"/>
  <c r="V70" i="13"/>
  <c r="V69" i="13"/>
  <c r="V68" i="13"/>
  <c r="V67" i="13"/>
  <c r="V66" i="13"/>
  <c r="V65" i="13"/>
  <c r="V64" i="13"/>
  <c r="V63" i="13"/>
  <c r="V62" i="13"/>
  <c r="V61" i="13"/>
  <c r="V60" i="13"/>
  <c r="C323" i="13"/>
  <c r="C322" i="13"/>
  <c r="C321" i="13"/>
  <c r="D84" i="13"/>
  <c r="D85" i="13"/>
  <c r="D86" i="13"/>
  <c r="F84" i="13"/>
  <c r="F85" i="13"/>
  <c r="F86" i="13"/>
  <c r="E23" i="13"/>
  <c r="Q23" i="13" s="1"/>
  <c r="E20" i="13"/>
  <c r="Q20" i="13" s="1"/>
  <c r="E21" i="13"/>
  <c r="Q21" i="13" s="1"/>
  <c r="E22" i="13"/>
  <c r="Q22" i="13" s="1"/>
  <c r="E194" i="13"/>
  <c r="C318" i="13" s="1"/>
  <c r="E201" i="13"/>
  <c r="F23" i="13"/>
  <c r="R23" i="13" s="1"/>
  <c r="F20" i="13"/>
  <c r="R20" i="13" s="1"/>
  <c r="F21" i="13"/>
  <c r="R21" i="13" s="1"/>
  <c r="F22" i="13"/>
  <c r="R22" i="13" s="1"/>
  <c r="F94" i="13"/>
  <c r="F95" i="13" s="1"/>
  <c r="F201" i="13"/>
  <c r="G23" i="13"/>
  <c r="S23" i="13" s="1"/>
  <c r="H23" i="13"/>
  <c r="T23" i="13" s="1"/>
  <c r="H20" i="13"/>
  <c r="T20" i="13" s="1"/>
  <c r="H21" i="13"/>
  <c r="T21" i="13" s="1"/>
  <c r="H22" i="13"/>
  <c r="T22" i="13" s="1"/>
  <c r="H94" i="13"/>
  <c r="H95" i="13" s="1"/>
  <c r="I23" i="13"/>
  <c r="U23" i="13" s="1"/>
  <c r="I20" i="13"/>
  <c r="U20" i="13" s="1"/>
  <c r="I21" i="13"/>
  <c r="U21" i="13" s="1"/>
  <c r="I22" i="13"/>
  <c r="U22" i="13" s="1"/>
  <c r="I94" i="13"/>
  <c r="I95" i="13" s="1"/>
  <c r="H85" i="13"/>
  <c r="H86" i="13" s="1"/>
  <c r="H87" i="13" s="1"/>
  <c r="I85" i="13"/>
  <c r="I86" i="13" s="1"/>
  <c r="I87" i="13" s="1"/>
  <c r="I201" i="13"/>
  <c r="D83" i="13"/>
  <c r="D79" i="13"/>
  <c r="D80" i="13"/>
  <c r="D81" i="13"/>
  <c r="D82" i="13"/>
  <c r="F83" i="13"/>
  <c r="F79" i="13"/>
  <c r="F80" i="13"/>
  <c r="F81" i="13"/>
  <c r="F82" i="13"/>
  <c r="D90" i="13"/>
  <c r="D88" i="13"/>
  <c r="D89" i="13"/>
  <c r="F90" i="13"/>
  <c r="F88" i="13"/>
  <c r="F89" i="13"/>
  <c r="E19" i="13"/>
  <c r="Q19" i="13" s="1"/>
  <c r="E15" i="13"/>
  <c r="Q15" i="13" s="1"/>
  <c r="E16" i="13"/>
  <c r="Q16" i="13" s="1"/>
  <c r="E17" i="13"/>
  <c r="Q17" i="13" s="1"/>
  <c r="E18" i="13"/>
  <c r="Q18" i="13" s="1"/>
  <c r="E26" i="13"/>
  <c r="Q26" i="13" s="1"/>
  <c r="E24" i="13"/>
  <c r="Q24" i="13" s="1"/>
  <c r="E25" i="13"/>
  <c r="Q25" i="13" s="1"/>
  <c r="E180" i="13"/>
  <c r="C314" i="13" s="1"/>
  <c r="F19" i="13"/>
  <c r="R19" i="13" s="1"/>
  <c r="F15" i="13"/>
  <c r="R15" i="13" s="1"/>
  <c r="F16" i="13"/>
  <c r="R16" i="13" s="1"/>
  <c r="F17" i="13"/>
  <c r="R17" i="13" s="1"/>
  <c r="F18" i="13"/>
  <c r="R18" i="13" s="1"/>
  <c r="F26" i="13"/>
  <c r="R26" i="13" s="1"/>
  <c r="F24" i="13"/>
  <c r="R24" i="13" s="1"/>
  <c r="F25" i="13"/>
  <c r="R25" i="13" s="1"/>
  <c r="G19" i="13"/>
  <c r="S19" i="13" s="1"/>
  <c r="H19" i="13"/>
  <c r="H15" i="13"/>
  <c r="H16" i="13"/>
  <c r="H17" i="13"/>
  <c r="H18" i="13"/>
  <c r="H26" i="13"/>
  <c r="T26" i="13" s="1"/>
  <c r="H24" i="13"/>
  <c r="T24" i="13" s="1"/>
  <c r="H25" i="13"/>
  <c r="T25" i="13" s="1"/>
  <c r="T19" i="13"/>
  <c r="T15" i="13"/>
  <c r="T16" i="13"/>
  <c r="T17" i="13"/>
  <c r="T18" i="13"/>
  <c r="I19" i="13"/>
  <c r="U19" i="13" s="1"/>
  <c r="I15" i="13"/>
  <c r="U15" i="13" s="1"/>
  <c r="I16" i="13"/>
  <c r="U16" i="13" s="1"/>
  <c r="I17" i="13"/>
  <c r="U17" i="13" s="1"/>
  <c r="I18" i="13"/>
  <c r="U18" i="13" s="1"/>
  <c r="I26" i="13"/>
  <c r="U26" i="13" s="1"/>
  <c r="I24" i="13"/>
  <c r="U24" i="13" s="1"/>
  <c r="I25" i="13"/>
  <c r="U25" i="13" s="1"/>
  <c r="H80" i="13"/>
  <c r="H81" i="13"/>
  <c r="H82" i="13"/>
  <c r="H83" i="13"/>
  <c r="I80" i="13"/>
  <c r="I81" i="13"/>
  <c r="I82" i="13"/>
  <c r="I83" i="13"/>
  <c r="B102" i="13"/>
  <c r="B165" i="13"/>
  <c r="B57" i="13"/>
  <c r="H30" i="13"/>
  <c r="E30" i="13"/>
  <c r="E10" i="13"/>
  <c r="I90" i="13"/>
  <c r="H90" i="13"/>
  <c r="I89" i="13"/>
  <c r="H89" i="13"/>
  <c r="I88" i="13"/>
  <c r="H88" i="13"/>
  <c r="B3" i="13"/>
  <c r="H92" i="13"/>
  <c r="W68" i="13"/>
  <c r="W65" i="13"/>
  <c r="W66" i="13"/>
  <c r="W67" i="13"/>
  <c r="W64" i="13"/>
  <c r="W60" i="13"/>
  <c r="W61" i="13"/>
  <c r="W62" i="13"/>
  <c r="W63" i="13"/>
  <c r="W71" i="13"/>
  <c r="W69" i="13"/>
  <c r="X84" i="13"/>
  <c r="Y84" i="13"/>
  <c r="Z84" i="13"/>
  <c r="W70" i="13"/>
  <c r="H201" i="13"/>
  <c r="E301" i="13"/>
  <c r="F309" i="13" s="1"/>
  <c r="E300" i="13"/>
  <c r="F308" i="13" s="1"/>
  <c r="B287" i="13"/>
  <c r="B286" i="13"/>
  <c r="G15" i="13"/>
  <c r="S15" i="13" s="1"/>
  <c r="G16" i="13"/>
  <c r="S16" i="13" s="1"/>
  <c r="G17" i="13"/>
  <c r="S17" i="13" s="1"/>
  <c r="G18" i="13"/>
  <c r="S18" i="13" s="1"/>
  <c r="G94" i="13"/>
  <c r="G95" i="13" s="1"/>
  <c r="G26" i="13"/>
  <c r="S26" i="13" s="1"/>
  <c r="G24" i="13"/>
  <c r="S24" i="13" s="1"/>
  <c r="G25" i="13"/>
  <c r="S25" i="13" s="1"/>
  <c r="G201" i="13"/>
  <c r="G20" i="13"/>
  <c r="S20" i="13" s="1"/>
  <c r="G21" i="13"/>
  <c r="S21" i="13" s="1"/>
  <c r="G22" i="13"/>
  <c r="S22" i="13" s="1"/>
  <c r="I294" i="13"/>
  <c r="H294" i="13"/>
  <c r="G294" i="13"/>
  <c r="F294" i="13"/>
  <c r="E294" i="13"/>
  <c r="Z86" i="13"/>
  <c r="Z85" i="13"/>
  <c r="Z83" i="13"/>
  <c r="Z82" i="13"/>
  <c r="Z81" i="13"/>
  <c r="Z80" i="13"/>
  <c r="Z79" i="13"/>
  <c r="Z78" i="13"/>
  <c r="Z77" i="13"/>
  <c r="Z76" i="13"/>
  <c r="Z75" i="13"/>
  <c r="Y86" i="13"/>
  <c r="Y85" i="13"/>
  <c r="Y83" i="13"/>
  <c r="Y82" i="13"/>
  <c r="Y81" i="13"/>
  <c r="Y80" i="13"/>
  <c r="Y79" i="13"/>
  <c r="Y78" i="13"/>
  <c r="Y77" i="13"/>
  <c r="Y76" i="13"/>
  <c r="Y75" i="13"/>
  <c r="X75" i="13"/>
  <c r="X86" i="13"/>
  <c r="X85" i="13"/>
  <c r="Y94" i="13"/>
  <c r="Z94" i="13"/>
  <c r="X95" i="13"/>
  <c r="Y95" i="13"/>
  <c r="Z95" i="13"/>
  <c r="X83" i="13"/>
  <c r="X82" i="13"/>
  <c r="X81" i="13"/>
  <c r="X80" i="13"/>
  <c r="X79" i="13"/>
  <c r="X78" i="13"/>
  <c r="X77" i="13"/>
  <c r="X76" i="13"/>
  <c r="AD71" i="13"/>
  <c r="AD70" i="13"/>
  <c r="AD69" i="13"/>
  <c r="AD68" i="13"/>
  <c r="AD67" i="13"/>
  <c r="AD66" i="13"/>
  <c r="AD65" i="13"/>
  <c r="AD64" i="13"/>
  <c r="AD63" i="13"/>
  <c r="AD62" i="13"/>
  <c r="AD61" i="13"/>
  <c r="AD60" i="13"/>
  <c r="AE72" i="13"/>
  <c r="AB71" i="13"/>
  <c r="AB70" i="13"/>
  <c r="AB69" i="13"/>
  <c r="AB68" i="13"/>
  <c r="AB67" i="13"/>
  <c r="AB66" i="13"/>
  <c r="AB65" i="13"/>
  <c r="AB64" i="13"/>
  <c r="AB63" i="13"/>
  <c r="AB62" i="13"/>
  <c r="AB61" i="13"/>
  <c r="AB60" i="13"/>
  <c r="Z71" i="13"/>
  <c r="Z70" i="13"/>
  <c r="Z69" i="13"/>
  <c r="Z68" i="13"/>
  <c r="Z67" i="13"/>
  <c r="Z66" i="13"/>
  <c r="Z65" i="13"/>
  <c r="Z64" i="13"/>
  <c r="Z63" i="13"/>
  <c r="Z62" i="13"/>
  <c r="Z61" i="13"/>
  <c r="Z60" i="13"/>
  <c r="X60" i="13"/>
  <c r="X61" i="13"/>
  <c r="X62" i="13"/>
  <c r="X63" i="13"/>
  <c r="X64" i="13"/>
  <c r="X65" i="13"/>
  <c r="X66" i="13"/>
  <c r="X67" i="13"/>
  <c r="Y67" i="13" s="1"/>
  <c r="X68" i="13"/>
  <c r="X69" i="13"/>
  <c r="X70" i="13"/>
  <c r="X71" i="13"/>
  <c r="I199" i="13"/>
  <c r="H199" i="13"/>
  <c r="G199" i="13"/>
  <c r="F199" i="13"/>
  <c r="E199" i="13"/>
  <c r="I264" i="13"/>
  <c r="H264" i="13"/>
  <c r="G264" i="13"/>
  <c r="F264" i="13"/>
  <c r="E264" i="13"/>
  <c r="H218" i="13"/>
  <c r="H128" i="13"/>
  <c r="H110" i="13"/>
  <c r="H150" i="13"/>
  <c r="H166" i="13"/>
  <c r="E150" i="13"/>
  <c r="T162" i="13"/>
  <c r="Q13" i="13"/>
  <c r="Q79" i="13" s="1"/>
  <c r="AX189" i="13"/>
  <c r="C187" i="13"/>
  <c r="B240" i="13"/>
  <c r="B239" i="13"/>
  <c r="AV150" i="13"/>
  <c r="AW150" i="13"/>
  <c r="AX150" i="13"/>
  <c r="AY150" i="13"/>
  <c r="AU150" i="13"/>
  <c r="C317" i="13"/>
  <c r="C316" i="13"/>
  <c r="I218" i="13"/>
  <c r="G218" i="13"/>
  <c r="F218" i="13"/>
  <c r="E218" i="13"/>
  <c r="B210" i="13"/>
  <c r="B209" i="13"/>
  <c r="H175" i="13"/>
  <c r="I166" i="13"/>
  <c r="G166" i="13"/>
  <c r="F166" i="13"/>
  <c r="E166" i="13"/>
  <c r="I150" i="13"/>
  <c r="G150" i="13"/>
  <c r="F150" i="13"/>
  <c r="B144" i="13"/>
  <c r="B143" i="13"/>
  <c r="I128" i="13"/>
  <c r="G128" i="13"/>
  <c r="F128" i="13"/>
  <c r="E128" i="13"/>
  <c r="I110" i="13"/>
  <c r="G110" i="13"/>
  <c r="F110" i="13"/>
  <c r="E110" i="13"/>
  <c r="B104" i="13"/>
  <c r="B103" i="13"/>
  <c r="I92" i="13"/>
  <c r="G92" i="13"/>
  <c r="F92" i="13"/>
  <c r="E92" i="13"/>
  <c r="U13" i="13"/>
  <c r="U58" i="13" s="1"/>
  <c r="U31" i="13"/>
  <c r="T13" i="13"/>
  <c r="T58" i="13" s="1"/>
  <c r="S13" i="13"/>
  <c r="S58" i="13"/>
  <c r="R13" i="13"/>
  <c r="R58" i="13" s="1"/>
  <c r="I58" i="13"/>
  <c r="G58" i="13"/>
  <c r="F58" i="13"/>
  <c r="E58" i="13"/>
  <c r="B53" i="13"/>
  <c r="B52" i="13"/>
  <c r="S31" i="13"/>
  <c r="I31" i="13"/>
  <c r="H31" i="13"/>
  <c r="G31" i="13"/>
  <c r="F31" i="13"/>
  <c r="E31" i="13"/>
  <c r="AH72" i="13"/>
  <c r="Y94" i="10"/>
  <c r="Z94" i="10"/>
  <c r="W75" i="10"/>
  <c r="V75" i="10" s="1"/>
  <c r="W76" i="10"/>
  <c r="V76" i="10" s="1"/>
  <c r="W77" i="10"/>
  <c r="V77" i="10" s="1"/>
  <c r="W78" i="10"/>
  <c r="V78" i="10" s="1"/>
  <c r="W79" i="10"/>
  <c r="V79" i="10" s="1"/>
  <c r="W80" i="10"/>
  <c r="V80" i="10" s="1"/>
  <c r="W81" i="10"/>
  <c r="V81" i="10" s="1"/>
  <c r="W82" i="10"/>
  <c r="V82" i="10" s="1"/>
  <c r="W83" i="10"/>
  <c r="V83" i="10" s="1"/>
  <c r="W84" i="10"/>
  <c r="V84" i="10" s="1"/>
  <c r="W85" i="10"/>
  <c r="V85" i="10" s="1"/>
  <c r="W86" i="10"/>
  <c r="V86" i="10" s="1"/>
  <c r="Y95" i="10"/>
  <c r="Z95" i="10"/>
  <c r="Z87" i="10"/>
  <c r="Y87" i="10"/>
  <c r="H92" i="10"/>
  <c r="Q23" i="10"/>
  <c r="D87" i="10"/>
  <c r="E87" i="10" s="1"/>
  <c r="Q20" i="10"/>
  <c r="Q21" i="10"/>
  <c r="Q22" i="10"/>
  <c r="E84" i="10"/>
  <c r="D85" i="10"/>
  <c r="E85" i="10" s="1"/>
  <c r="D86" i="10"/>
  <c r="E86" i="10" s="1"/>
  <c r="I85" i="10"/>
  <c r="I86" i="10" s="1"/>
  <c r="I87" i="10" s="1"/>
  <c r="Q167" i="10"/>
  <c r="W167" i="10" s="1"/>
  <c r="Q19" i="10"/>
  <c r="D83" i="10"/>
  <c r="E83" i="10" s="1"/>
  <c r="Q18" i="10"/>
  <c r="E79" i="10"/>
  <c r="D80" i="10"/>
  <c r="E80" i="10" s="1"/>
  <c r="D81" i="10"/>
  <c r="E81" i="10" s="1"/>
  <c r="D82" i="10"/>
  <c r="E82" i="10" s="1"/>
  <c r="I80" i="10"/>
  <c r="I81" i="10"/>
  <c r="I82" i="10"/>
  <c r="I83" i="10"/>
  <c r="Q26" i="10"/>
  <c r="D90" i="10"/>
  <c r="E90" i="10" s="1"/>
  <c r="I90" i="10"/>
  <c r="Q24" i="10"/>
  <c r="Q25" i="10"/>
  <c r="D88" i="10"/>
  <c r="E88" i="10" s="1"/>
  <c r="D89" i="10"/>
  <c r="E89" i="10" s="1"/>
  <c r="I88" i="10"/>
  <c r="I89" i="10"/>
  <c r="Q172" i="10"/>
  <c r="W172" i="10" s="1"/>
  <c r="R23" i="10"/>
  <c r="R20" i="10"/>
  <c r="R21" i="10"/>
  <c r="R22" i="10"/>
  <c r="R19" i="10"/>
  <c r="R18" i="10"/>
  <c r="R26" i="10"/>
  <c r="R24" i="10"/>
  <c r="R25" i="10"/>
  <c r="S23" i="10"/>
  <c r="S20" i="10"/>
  <c r="S21" i="10"/>
  <c r="S22" i="10"/>
  <c r="S19" i="10"/>
  <c r="S15" i="10"/>
  <c r="S16" i="10"/>
  <c r="S17" i="10"/>
  <c r="S18" i="10"/>
  <c r="S26" i="10"/>
  <c r="S24" i="10"/>
  <c r="S25" i="10"/>
  <c r="T23" i="10"/>
  <c r="T20" i="10"/>
  <c r="T21" i="10"/>
  <c r="T22" i="10"/>
  <c r="T19" i="10"/>
  <c r="T15" i="10"/>
  <c r="T16" i="10"/>
  <c r="T17" i="10"/>
  <c r="T18" i="10"/>
  <c r="T26" i="10"/>
  <c r="T24" i="10"/>
  <c r="T25" i="10"/>
  <c r="U23" i="10"/>
  <c r="U20" i="10"/>
  <c r="U21" i="10"/>
  <c r="U22" i="10"/>
  <c r="U19" i="10"/>
  <c r="U15" i="10"/>
  <c r="U16" i="10"/>
  <c r="U17" i="10"/>
  <c r="U18" i="10"/>
  <c r="U26" i="10"/>
  <c r="U24" i="10"/>
  <c r="U25" i="10"/>
  <c r="B288" i="10"/>
  <c r="B287" i="10"/>
  <c r="I201" i="10"/>
  <c r="H201" i="10"/>
  <c r="G201" i="10"/>
  <c r="F201" i="10"/>
  <c r="E201" i="10"/>
  <c r="I266" i="10"/>
  <c r="H266" i="10"/>
  <c r="G266" i="10"/>
  <c r="F266" i="10"/>
  <c r="E266" i="10"/>
  <c r="H220" i="10"/>
  <c r="Q63" i="10"/>
  <c r="Q67" i="10"/>
  <c r="H128" i="10"/>
  <c r="H110" i="10"/>
  <c r="H150" i="10"/>
  <c r="H166" i="10"/>
  <c r="Z72" i="10"/>
  <c r="E150" i="10"/>
  <c r="T162" i="10"/>
  <c r="Q13" i="10"/>
  <c r="Q79" i="10" s="1"/>
  <c r="C312" i="10"/>
  <c r="AX189" i="10"/>
  <c r="C187" i="10"/>
  <c r="B242" i="10"/>
  <c r="B241" i="10"/>
  <c r="C311" i="10"/>
  <c r="AV150" i="10"/>
  <c r="AW150" i="10"/>
  <c r="AX150" i="10"/>
  <c r="AY150" i="10"/>
  <c r="AU150" i="10"/>
  <c r="C316" i="10"/>
  <c r="C315" i="10"/>
  <c r="C314" i="10"/>
  <c r="I220" i="10"/>
  <c r="G220" i="10"/>
  <c r="F220" i="10"/>
  <c r="E220" i="10"/>
  <c r="B212" i="10"/>
  <c r="B211" i="10"/>
  <c r="H175" i="10"/>
  <c r="I166" i="10"/>
  <c r="G166" i="10"/>
  <c r="F166" i="10"/>
  <c r="E166" i="10"/>
  <c r="I150" i="10"/>
  <c r="G150" i="10"/>
  <c r="F150" i="10"/>
  <c r="B144" i="10"/>
  <c r="B143" i="10"/>
  <c r="I128" i="10"/>
  <c r="G128" i="10"/>
  <c r="F128" i="10"/>
  <c r="E128" i="10"/>
  <c r="I110" i="10"/>
  <c r="G110" i="10"/>
  <c r="F110" i="10"/>
  <c r="E110" i="10"/>
  <c r="B104" i="10"/>
  <c r="B103" i="10"/>
  <c r="I92" i="10"/>
  <c r="G92" i="10"/>
  <c r="F92" i="10"/>
  <c r="E92" i="10"/>
  <c r="U13" i="10"/>
  <c r="U58" i="10" s="1"/>
  <c r="T13" i="10"/>
  <c r="T79" i="10" s="1"/>
  <c r="S13" i="10"/>
  <c r="S31" i="10" s="1"/>
  <c r="R13" i="10"/>
  <c r="R58" i="10" s="1"/>
  <c r="AB72" i="10"/>
  <c r="I58" i="10"/>
  <c r="G58" i="10"/>
  <c r="F58" i="10"/>
  <c r="E58" i="10"/>
  <c r="B53" i="10"/>
  <c r="B52" i="10"/>
  <c r="I31" i="10"/>
  <c r="H31" i="10"/>
  <c r="G31" i="10"/>
  <c r="F31" i="10"/>
  <c r="E31" i="10"/>
  <c r="B3" i="14"/>
  <c r="F131" i="14"/>
  <c r="G131" i="14"/>
  <c r="H131" i="14"/>
  <c r="I131" i="14"/>
  <c r="E131" i="14"/>
  <c r="B157" i="14"/>
  <c r="B156" i="14"/>
  <c r="B53" i="14"/>
  <c r="B52" i="14"/>
  <c r="B51" i="14"/>
  <c r="B50" i="14"/>
  <c r="B49" i="14"/>
  <c r="B48" i="14"/>
  <c r="B47" i="14"/>
  <c r="T150" i="13"/>
  <c r="Q150" i="13"/>
  <c r="W162" i="13"/>
  <c r="Q162" i="13"/>
  <c r="W150" i="11"/>
  <c r="Q150" i="11"/>
  <c r="T150" i="11"/>
  <c r="W150" i="13"/>
  <c r="R58" i="11"/>
  <c r="R31" i="13"/>
  <c r="U31" i="10"/>
  <c r="Q162" i="11"/>
  <c r="T162" i="11"/>
  <c r="S58" i="11"/>
  <c r="S31" i="11"/>
  <c r="AG63" i="11" l="1"/>
  <c r="AG62" i="25"/>
  <c r="H62" i="25" s="1"/>
  <c r="AA94" i="13"/>
  <c r="H97" i="10"/>
  <c r="AG60" i="25"/>
  <c r="T31" i="13"/>
  <c r="Q69" i="13"/>
  <c r="T79" i="13"/>
  <c r="AA95" i="13"/>
  <c r="T58" i="11"/>
  <c r="T69" i="11"/>
  <c r="L25" i="18"/>
  <c r="T69" i="13"/>
  <c r="T150" i="10"/>
  <c r="I168" i="25"/>
  <c r="T192" i="25" s="1"/>
  <c r="T196" i="25" s="1"/>
  <c r="I110" i="26"/>
  <c r="AG64" i="25"/>
  <c r="H64" i="25" s="1"/>
  <c r="AG66" i="25"/>
  <c r="H66" i="25" s="1"/>
  <c r="AG68" i="25"/>
  <c r="H68" i="25" s="1"/>
  <c r="AG70" i="25"/>
  <c r="H70" i="25" s="1"/>
  <c r="AG61" i="25"/>
  <c r="H61" i="25" s="1"/>
  <c r="AG63" i="25"/>
  <c r="H63" i="25" s="1"/>
  <c r="AG65" i="25"/>
  <c r="H65" i="25" s="1"/>
  <c r="AG67" i="25"/>
  <c r="H67" i="25" s="1"/>
  <c r="AG69" i="25"/>
  <c r="H69" i="25" s="1"/>
  <c r="AG71" i="25"/>
  <c r="H71" i="25" s="1"/>
  <c r="H60" i="25"/>
  <c r="H36" i="13"/>
  <c r="T36" i="13" s="1"/>
  <c r="H36" i="25"/>
  <c r="T36" i="25" s="1"/>
  <c r="H38" i="11"/>
  <c r="T38" i="11" s="1"/>
  <c r="H38" i="25"/>
  <c r="AA70" i="25"/>
  <c r="AF86" i="25" s="1"/>
  <c r="AA68" i="25"/>
  <c r="AF84" i="25" s="1"/>
  <c r="AA66" i="25"/>
  <c r="AF82" i="25" s="1"/>
  <c r="AA64" i="25"/>
  <c r="E64" i="25" s="1"/>
  <c r="AA62" i="25"/>
  <c r="E62" i="25" s="1"/>
  <c r="AA60" i="25"/>
  <c r="AF76" i="25" s="1"/>
  <c r="AA71" i="25"/>
  <c r="E71" i="25" s="1"/>
  <c r="AA69" i="25"/>
  <c r="AF85" i="25" s="1"/>
  <c r="AA67" i="25"/>
  <c r="AF83" i="25" s="1"/>
  <c r="AA63" i="25"/>
  <c r="E63" i="25" s="1"/>
  <c r="AA61" i="25"/>
  <c r="AF77" i="25" s="1"/>
  <c r="AF80" i="25"/>
  <c r="AA65" i="13"/>
  <c r="AA65" i="25"/>
  <c r="E248" i="25"/>
  <c r="F168" i="25"/>
  <c r="Q192" i="25" s="1"/>
  <c r="Q196" i="25" s="1"/>
  <c r="E168" i="25"/>
  <c r="P192" i="25" s="1"/>
  <c r="P196" i="25" s="1"/>
  <c r="F60" i="11"/>
  <c r="R60" i="11" s="1"/>
  <c r="AG61" i="13"/>
  <c r="H65" i="10"/>
  <c r="AG62" i="13"/>
  <c r="AA70" i="11"/>
  <c r="AA62" i="13"/>
  <c r="Q31" i="13"/>
  <c r="Q58" i="13"/>
  <c r="E97" i="13"/>
  <c r="Q58" i="10"/>
  <c r="AA95" i="10"/>
  <c r="F70" i="13"/>
  <c r="F66" i="13"/>
  <c r="S95" i="10"/>
  <c r="AA94" i="10"/>
  <c r="AB82" i="10" s="1"/>
  <c r="AC82" i="10" s="1"/>
  <c r="F65" i="13"/>
  <c r="F61" i="13"/>
  <c r="Q31" i="10"/>
  <c r="G97" i="10"/>
  <c r="I70" i="11"/>
  <c r="F69" i="13"/>
  <c r="W150" i="10"/>
  <c r="G60" i="10"/>
  <c r="G60" i="11" s="1"/>
  <c r="AC60" i="13"/>
  <c r="AC60" i="11"/>
  <c r="I97" i="10"/>
  <c r="Q69" i="10"/>
  <c r="R31" i="10"/>
  <c r="T31" i="10"/>
  <c r="Q150" i="10"/>
  <c r="F68" i="13"/>
  <c r="I69" i="11"/>
  <c r="G65" i="10"/>
  <c r="AC65" i="11"/>
  <c r="AC65" i="13"/>
  <c r="G61" i="10"/>
  <c r="G61" i="11" s="1"/>
  <c r="AC61" i="11"/>
  <c r="AC61" i="13"/>
  <c r="G71" i="10"/>
  <c r="G71" i="11" s="1"/>
  <c r="AC71" i="11"/>
  <c r="AC71" i="13"/>
  <c r="G68" i="10"/>
  <c r="G68" i="13" s="1"/>
  <c r="AC68" i="11"/>
  <c r="AC68" i="13"/>
  <c r="G64" i="10"/>
  <c r="G64" i="11" s="1"/>
  <c r="AC64" i="11"/>
  <c r="AC64" i="13"/>
  <c r="Y67" i="11"/>
  <c r="Y64" i="11"/>
  <c r="I63" i="11"/>
  <c r="G70" i="10"/>
  <c r="G70" i="13" s="1"/>
  <c r="AC70" i="11"/>
  <c r="AC70" i="13"/>
  <c r="G67" i="10"/>
  <c r="G67" i="11" s="1"/>
  <c r="AC67" i="11"/>
  <c r="AC67" i="13"/>
  <c r="G63" i="10"/>
  <c r="G63" i="13" s="1"/>
  <c r="AC63" i="11"/>
  <c r="AC63" i="13"/>
  <c r="Y64" i="13"/>
  <c r="W79" i="13"/>
  <c r="V79" i="13" s="1"/>
  <c r="AB79" i="13" s="1"/>
  <c r="AC79" i="13" s="1"/>
  <c r="G69" i="10"/>
  <c r="G69" i="11" s="1"/>
  <c r="AC69" i="11"/>
  <c r="AC69" i="13"/>
  <c r="G66" i="10"/>
  <c r="G66" i="13" s="1"/>
  <c r="AC66" i="11"/>
  <c r="AC66" i="13"/>
  <c r="G62" i="10"/>
  <c r="G62" i="11" s="1"/>
  <c r="AC62" i="11"/>
  <c r="AC62" i="13"/>
  <c r="Y65" i="11"/>
  <c r="Y62" i="13"/>
  <c r="Y71" i="13"/>
  <c r="Y60" i="11"/>
  <c r="W86" i="13"/>
  <c r="V86" i="13" s="1"/>
  <c r="AB86" i="13" s="1"/>
  <c r="AC86" i="13" s="1"/>
  <c r="Y60" i="13"/>
  <c r="W78" i="11"/>
  <c r="V78" i="11" s="1"/>
  <c r="AB78" i="11" s="1"/>
  <c r="AC78" i="11" s="1"/>
  <c r="W81" i="11"/>
  <c r="V81" i="11" s="1"/>
  <c r="AB81" i="11" s="1"/>
  <c r="AC81" i="11" s="1"/>
  <c r="W82" i="11"/>
  <c r="V82" i="11" s="1"/>
  <c r="AB82" i="11" s="1"/>
  <c r="AC82" i="11" s="1"/>
  <c r="W86" i="11"/>
  <c r="V86" i="11" s="1"/>
  <c r="AB86" i="11" s="1"/>
  <c r="AC86" i="11" s="1"/>
  <c r="Y62" i="11"/>
  <c r="Y70" i="13"/>
  <c r="W77" i="13"/>
  <c r="V77" i="13" s="1"/>
  <c r="AB77" i="13" s="1"/>
  <c r="AC77" i="13" s="1"/>
  <c r="W75" i="13"/>
  <c r="V75" i="13" s="1"/>
  <c r="AB75" i="13" s="1"/>
  <c r="AC75" i="13" s="1"/>
  <c r="Y63" i="13"/>
  <c r="Y68" i="13"/>
  <c r="W79" i="11"/>
  <c r="V79" i="11" s="1"/>
  <c r="AB79" i="11" s="1"/>
  <c r="AC79" i="11" s="1"/>
  <c r="Q167" i="13"/>
  <c r="W167" i="13" s="1"/>
  <c r="Y71" i="11"/>
  <c r="AD77" i="11"/>
  <c r="W85" i="11"/>
  <c r="V85" i="11" s="1"/>
  <c r="AB85" i="11" s="1"/>
  <c r="AC85" i="11" s="1"/>
  <c r="Y66" i="11"/>
  <c r="T69" i="10"/>
  <c r="W78" i="13"/>
  <c r="V78" i="13" s="1"/>
  <c r="AB78" i="13" s="1"/>
  <c r="AC78" i="13" s="1"/>
  <c r="W84" i="11"/>
  <c r="V84" i="11" s="1"/>
  <c r="AB84" i="11" s="1"/>
  <c r="AC84" i="11" s="1"/>
  <c r="Y69" i="11"/>
  <c r="I64" i="13"/>
  <c r="S58" i="10"/>
  <c r="E97" i="10"/>
  <c r="Q63" i="13"/>
  <c r="Q162" i="10"/>
  <c r="T58" i="10"/>
  <c r="AY152" i="10"/>
  <c r="Y65" i="13"/>
  <c r="AB72" i="13"/>
  <c r="AD77" i="13"/>
  <c r="AD72" i="11"/>
  <c r="Y68" i="11"/>
  <c r="Y72" i="10"/>
  <c r="I68" i="13"/>
  <c r="AY152" i="13" s="1"/>
  <c r="I71" i="13"/>
  <c r="I67" i="11"/>
  <c r="AY152" i="11" s="1"/>
  <c r="I60" i="13"/>
  <c r="W82" i="13"/>
  <c r="V82" i="13" s="1"/>
  <c r="AB82" i="13" s="1"/>
  <c r="AC82" i="13" s="1"/>
  <c r="Y61" i="11"/>
  <c r="F62" i="13"/>
  <c r="W162" i="10"/>
  <c r="Z72" i="13"/>
  <c r="T30" i="13"/>
  <c r="I117" i="10"/>
  <c r="I135" i="10" s="1"/>
  <c r="Q30" i="11"/>
  <c r="R64" i="10"/>
  <c r="U60" i="10"/>
  <c r="W83" i="13"/>
  <c r="V83" i="13" s="1"/>
  <c r="AB83" i="13" s="1"/>
  <c r="AC83" i="13" s="1"/>
  <c r="W84" i="13"/>
  <c r="V84" i="13" s="1"/>
  <c r="AB84" i="13" s="1"/>
  <c r="AC84" i="13" s="1"/>
  <c r="Y70" i="11"/>
  <c r="AB72" i="11"/>
  <c r="W80" i="11"/>
  <c r="V80" i="11" s="1"/>
  <c r="AB80" i="11" s="1"/>
  <c r="AC80" i="11" s="1"/>
  <c r="Q172" i="13"/>
  <c r="W172" i="13" s="1"/>
  <c r="W76" i="13"/>
  <c r="V76" i="13" s="1"/>
  <c r="AB76" i="13" s="1"/>
  <c r="AC76" i="13" s="1"/>
  <c r="W80" i="13"/>
  <c r="V80" i="13" s="1"/>
  <c r="AB80" i="13" s="1"/>
  <c r="AC80" i="13" s="1"/>
  <c r="W85" i="13"/>
  <c r="V85" i="13" s="1"/>
  <c r="AB85" i="13" s="1"/>
  <c r="AC85" i="13" s="1"/>
  <c r="W81" i="13"/>
  <c r="V81" i="13" s="1"/>
  <c r="AB81" i="13" s="1"/>
  <c r="AC81" i="13" s="1"/>
  <c r="X72" i="11"/>
  <c r="Z72" i="11"/>
  <c r="W76" i="11"/>
  <c r="V76" i="11" s="1"/>
  <c r="AB76" i="11" s="1"/>
  <c r="AC76" i="11" s="1"/>
  <c r="W77" i="11"/>
  <c r="V77" i="11" s="1"/>
  <c r="AB77" i="11" s="1"/>
  <c r="AC77" i="11" s="1"/>
  <c r="W83" i="11"/>
  <c r="V83" i="11" s="1"/>
  <c r="AB83" i="11" s="1"/>
  <c r="AC83" i="11" s="1"/>
  <c r="Y63" i="11"/>
  <c r="E248" i="10"/>
  <c r="Q63" i="11"/>
  <c r="W72" i="11"/>
  <c r="AD72" i="13"/>
  <c r="Q172" i="11"/>
  <c r="W172" i="11" s="1"/>
  <c r="E246" i="13"/>
  <c r="X72" i="13"/>
  <c r="Y69" i="13"/>
  <c r="Q67" i="13"/>
  <c r="E245" i="11"/>
  <c r="B27" i="18"/>
  <c r="M27" i="18" s="1"/>
  <c r="E116" i="14"/>
  <c r="F113" i="10"/>
  <c r="F131" i="10" s="1"/>
  <c r="I113" i="10"/>
  <c r="I131" i="10" s="1"/>
  <c r="AC72" i="10"/>
  <c r="I168" i="11"/>
  <c r="H168" i="25"/>
  <c r="S192" i="25" s="1"/>
  <c r="S196" i="25" s="1"/>
  <c r="I112" i="10"/>
  <c r="I130" i="10" s="1"/>
  <c r="W75" i="11"/>
  <c r="V75" i="11" s="1"/>
  <c r="AB75" i="11" s="1"/>
  <c r="AC75" i="11" s="1"/>
  <c r="W87" i="10"/>
  <c r="V87" i="10"/>
  <c r="I66" i="13"/>
  <c r="I118" i="10"/>
  <c r="I136" i="10" s="1"/>
  <c r="I66" i="11"/>
  <c r="I62" i="11"/>
  <c r="I110" i="14"/>
  <c r="I248" i="25" s="1"/>
  <c r="U64" i="10"/>
  <c r="I65" i="13"/>
  <c r="I65" i="11"/>
  <c r="I61" i="11"/>
  <c r="I72" i="10"/>
  <c r="I114" i="10"/>
  <c r="I132" i="10" s="1"/>
  <c r="I116" i="10"/>
  <c r="I134" i="10" s="1"/>
  <c r="I156" i="10" s="1"/>
  <c r="T95" i="10"/>
  <c r="F112" i="10"/>
  <c r="F130" i="10" s="1"/>
  <c r="F152" i="10" s="1"/>
  <c r="F72" i="10"/>
  <c r="F114" i="10"/>
  <c r="F132" i="10" s="1"/>
  <c r="AV152" i="10"/>
  <c r="F71" i="13"/>
  <c r="F67" i="11"/>
  <c r="F112" i="11" s="1"/>
  <c r="F130" i="11" s="1"/>
  <c r="F152" i="11" s="1"/>
  <c r="F118" i="10"/>
  <c r="F136" i="10" s="1"/>
  <c r="F116" i="10"/>
  <c r="R60" i="10"/>
  <c r="F64" i="13"/>
  <c r="F63" i="13"/>
  <c r="F117" i="10"/>
  <c r="F135" i="10" s="1"/>
  <c r="Q167" i="11"/>
  <c r="W167" i="11" s="1"/>
  <c r="Y66" i="13"/>
  <c r="Y61" i="13"/>
  <c r="Q67" i="11"/>
  <c r="W72" i="13"/>
  <c r="H68" i="10"/>
  <c r="H63" i="10"/>
  <c r="H63" i="13" s="1"/>
  <c r="AG67" i="11"/>
  <c r="AG63" i="13"/>
  <c r="E69" i="25" l="1"/>
  <c r="J69" i="25" s="1"/>
  <c r="AF87" i="25"/>
  <c r="G71" i="13"/>
  <c r="AF79" i="25"/>
  <c r="E60" i="25"/>
  <c r="J60" i="25" s="1"/>
  <c r="E68" i="25"/>
  <c r="M68" i="25" s="1"/>
  <c r="AF86" i="10"/>
  <c r="H112" i="25"/>
  <c r="H130" i="25" s="1"/>
  <c r="F97" i="10"/>
  <c r="E61" i="25"/>
  <c r="E66" i="25"/>
  <c r="M66" i="25" s="1"/>
  <c r="T64" i="25"/>
  <c r="E70" i="25"/>
  <c r="M70" i="25" s="1"/>
  <c r="AB86" i="10"/>
  <c r="AC86" i="10" s="1"/>
  <c r="AG72" i="25"/>
  <c r="T76" i="25"/>
  <c r="T153" i="25" s="1"/>
  <c r="G168" i="25"/>
  <c r="I258" i="25"/>
  <c r="I116" i="26"/>
  <c r="I121" i="26" s="1"/>
  <c r="I120" i="26"/>
  <c r="AX152" i="25"/>
  <c r="H38" i="13"/>
  <c r="T38" i="13" s="1"/>
  <c r="H114" i="25"/>
  <c r="H132" i="25" s="1"/>
  <c r="H113" i="25"/>
  <c r="H131" i="25" s="1"/>
  <c r="T38" i="10"/>
  <c r="AG62" i="11"/>
  <c r="T75" i="25"/>
  <c r="T42" i="10"/>
  <c r="H42" i="25"/>
  <c r="T42" i="25" s="1"/>
  <c r="H41" i="13"/>
  <c r="T41" i="13" s="1"/>
  <c r="H41" i="25"/>
  <c r="T41" i="25" s="1"/>
  <c r="H44" i="11"/>
  <c r="T44" i="11" s="1"/>
  <c r="H44" i="25"/>
  <c r="T44" i="25" s="1"/>
  <c r="H43" i="11"/>
  <c r="T43" i="11" s="1"/>
  <c r="H43" i="25"/>
  <c r="T43" i="25" s="1"/>
  <c r="H33" i="11"/>
  <c r="H33" i="25"/>
  <c r="T35" i="10"/>
  <c r="H35" i="25"/>
  <c r="T35" i="25" s="1"/>
  <c r="H65" i="11"/>
  <c r="H40" i="13"/>
  <c r="T40" i="13" s="1"/>
  <c r="H40" i="25"/>
  <c r="T40" i="25" s="1"/>
  <c r="H37" i="13"/>
  <c r="T37" i="13" s="1"/>
  <c r="H37" i="25"/>
  <c r="T37" i="25" s="1"/>
  <c r="T36" i="10"/>
  <c r="H34" i="13"/>
  <c r="T34" i="13" s="1"/>
  <c r="H34" i="25"/>
  <c r="T34" i="25" s="1"/>
  <c r="T38" i="25"/>
  <c r="H39" i="13"/>
  <c r="T39" i="13" s="1"/>
  <c r="H39" i="25"/>
  <c r="T39" i="25" s="1"/>
  <c r="H36" i="11"/>
  <c r="T36" i="11" s="1"/>
  <c r="H117" i="25"/>
  <c r="H135" i="25" s="1"/>
  <c r="T60" i="25"/>
  <c r="H118" i="25"/>
  <c r="H136" i="25" s="1"/>
  <c r="H72" i="25"/>
  <c r="H116" i="25"/>
  <c r="H134" i="25" s="1"/>
  <c r="T72" i="25"/>
  <c r="T71" i="25"/>
  <c r="AA72" i="25"/>
  <c r="E67" i="25"/>
  <c r="M67" i="25" s="1"/>
  <c r="AF78" i="25"/>
  <c r="AA65" i="11"/>
  <c r="E39" i="13"/>
  <c r="Q39" i="13" s="1"/>
  <c r="E39" i="25"/>
  <c r="Q39" i="25" s="1"/>
  <c r="E35" i="13"/>
  <c r="Q35" i="13" s="1"/>
  <c r="E35" i="25"/>
  <c r="Q35" i="25" s="1"/>
  <c r="E43" i="11"/>
  <c r="Q43" i="11" s="1"/>
  <c r="E43" i="25"/>
  <c r="Q43" i="25" s="1"/>
  <c r="E34" i="13"/>
  <c r="Q34" i="13" s="1"/>
  <c r="E34" i="25"/>
  <c r="Q34" i="25" s="1"/>
  <c r="E44" i="13"/>
  <c r="Q44" i="13" s="1"/>
  <c r="E44" i="25"/>
  <c r="Q44" i="25" s="1"/>
  <c r="Q37" i="10"/>
  <c r="E37" i="25"/>
  <c r="Q37" i="25" s="1"/>
  <c r="E36" i="11"/>
  <c r="Q36" i="11" s="1"/>
  <c r="E36" i="25"/>
  <c r="Q36" i="25" s="1"/>
  <c r="AF81" i="10"/>
  <c r="AF78" i="10"/>
  <c r="J71" i="25"/>
  <c r="M71" i="25"/>
  <c r="E116" i="25"/>
  <c r="E134" i="25" s="1"/>
  <c r="M64" i="25"/>
  <c r="J64" i="25"/>
  <c r="E33" i="13"/>
  <c r="E33" i="25"/>
  <c r="E41" i="11"/>
  <c r="Q41" i="11" s="1"/>
  <c r="E41" i="25"/>
  <c r="Q41" i="25" s="1"/>
  <c r="E42" i="25"/>
  <c r="Q42" i="25" s="1"/>
  <c r="M63" i="25"/>
  <c r="J63" i="25"/>
  <c r="M62" i="25"/>
  <c r="J62" i="25"/>
  <c r="E38" i="13"/>
  <c r="E38" i="25"/>
  <c r="E40" i="13"/>
  <c r="Q40" i="13" s="1"/>
  <c r="E40" i="25"/>
  <c r="Q40" i="25" s="1"/>
  <c r="E65" i="10"/>
  <c r="AF81" i="25"/>
  <c r="E65" i="25"/>
  <c r="F118" i="11"/>
  <c r="F136" i="11" s="1"/>
  <c r="G67" i="13"/>
  <c r="AW152" i="13" s="1"/>
  <c r="G65" i="11"/>
  <c r="G110" i="26"/>
  <c r="G120" i="26" s="1"/>
  <c r="E254" i="10"/>
  <c r="E254" i="25"/>
  <c r="Q44" i="10"/>
  <c r="I116" i="13"/>
  <c r="I134" i="13" s="1"/>
  <c r="I156" i="13" s="1"/>
  <c r="E44" i="11"/>
  <c r="Q44" i="11" s="1"/>
  <c r="AG65" i="11"/>
  <c r="AG61" i="11"/>
  <c r="H42" i="13"/>
  <c r="T42" i="13" s="1"/>
  <c r="H61" i="10"/>
  <c r="H61" i="13" s="1"/>
  <c r="I168" i="13"/>
  <c r="H65" i="13"/>
  <c r="F116" i="11"/>
  <c r="F134" i="11" s="1"/>
  <c r="F156" i="11" s="1"/>
  <c r="F117" i="11"/>
  <c r="F135" i="11" s="1"/>
  <c r="G60" i="13"/>
  <c r="H62" i="10"/>
  <c r="H62" i="11" s="1"/>
  <c r="AG65" i="13"/>
  <c r="E62" i="10"/>
  <c r="AA62" i="11"/>
  <c r="E70" i="10"/>
  <c r="AA70" i="13"/>
  <c r="F112" i="13"/>
  <c r="F130" i="13" s="1"/>
  <c r="F152" i="13" s="1"/>
  <c r="G63" i="11"/>
  <c r="G62" i="13"/>
  <c r="AB83" i="10"/>
  <c r="AC83" i="10" s="1"/>
  <c r="AB75" i="10"/>
  <c r="AC75" i="10" s="1"/>
  <c r="AB76" i="10"/>
  <c r="AC76" i="10" s="1"/>
  <c r="AB77" i="10"/>
  <c r="AC77" i="10" s="1"/>
  <c r="F113" i="13"/>
  <c r="F131" i="13" s="1"/>
  <c r="AB78" i="10"/>
  <c r="AC78" i="10" s="1"/>
  <c r="AB79" i="10"/>
  <c r="AC79" i="10" s="1"/>
  <c r="AB80" i="10"/>
  <c r="AC80" i="10" s="1"/>
  <c r="AV152" i="13"/>
  <c r="AB84" i="10"/>
  <c r="AC84" i="10" s="1"/>
  <c r="AB81" i="10"/>
  <c r="AC81" i="10" s="1"/>
  <c r="AB85" i="10"/>
  <c r="AC85" i="10" s="1"/>
  <c r="G110" i="14"/>
  <c r="G65" i="13"/>
  <c r="R64" i="13"/>
  <c r="F295" i="13"/>
  <c r="F114" i="13"/>
  <c r="F132" i="13" s="1"/>
  <c r="G112" i="10"/>
  <c r="G130" i="10" s="1"/>
  <c r="G152" i="10" s="1"/>
  <c r="G64" i="13"/>
  <c r="S64" i="10"/>
  <c r="AW152" i="10"/>
  <c r="G70" i="11"/>
  <c r="G114" i="10"/>
  <c r="G132" i="10" s="1"/>
  <c r="G66" i="11"/>
  <c r="G72" i="10"/>
  <c r="AW160" i="10" s="1"/>
  <c r="G118" i="10"/>
  <c r="G136" i="10" s="1"/>
  <c r="G116" i="10"/>
  <c r="G134" i="10" s="1"/>
  <c r="G156" i="10" s="1"/>
  <c r="G113" i="10"/>
  <c r="G131" i="10" s="1"/>
  <c r="G117" i="10"/>
  <c r="G135" i="10" s="1"/>
  <c r="G61" i="13"/>
  <c r="G69" i="13"/>
  <c r="S60" i="10"/>
  <c r="G68" i="11"/>
  <c r="AW152" i="11" s="1"/>
  <c r="F113" i="11"/>
  <c r="F131" i="11" s="1"/>
  <c r="I118" i="11"/>
  <c r="I136" i="11" s="1"/>
  <c r="I117" i="13"/>
  <c r="I135" i="13" s="1"/>
  <c r="I113" i="11"/>
  <c r="I131" i="11" s="1"/>
  <c r="Y72" i="11"/>
  <c r="U60" i="13"/>
  <c r="AG68" i="11"/>
  <c r="I112" i="11"/>
  <c r="I130" i="11" s="1"/>
  <c r="I118" i="13"/>
  <c r="I136" i="13" s="1"/>
  <c r="F118" i="13"/>
  <c r="F136" i="13" s="1"/>
  <c r="E252" i="13"/>
  <c r="I116" i="14"/>
  <c r="I117" i="11"/>
  <c r="I135" i="11" s="1"/>
  <c r="I116" i="11"/>
  <c r="I134" i="11" s="1"/>
  <c r="I156" i="11" s="1"/>
  <c r="I114" i="11"/>
  <c r="I132" i="11" s="1"/>
  <c r="C27" i="18"/>
  <c r="N27" i="18" s="1"/>
  <c r="E251" i="11"/>
  <c r="AG67" i="13"/>
  <c r="AV165" i="10"/>
  <c r="AY160" i="10"/>
  <c r="AY156" i="10"/>
  <c r="AY168" i="10" s="1"/>
  <c r="I72" i="11"/>
  <c r="U60" i="11"/>
  <c r="I248" i="10"/>
  <c r="I258" i="10" s="1"/>
  <c r="B34" i="18"/>
  <c r="M34" i="18" s="1"/>
  <c r="I246" i="13"/>
  <c r="I256" i="13" s="1"/>
  <c r="I245" i="11"/>
  <c r="I255" i="11" s="1"/>
  <c r="I120" i="14"/>
  <c r="U64" i="11"/>
  <c r="I294" i="11"/>
  <c r="I120" i="10"/>
  <c r="I295" i="13"/>
  <c r="I114" i="13"/>
  <c r="I132" i="13" s="1"/>
  <c r="I113" i="13"/>
  <c r="I131" i="13" s="1"/>
  <c r="I112" i="13"/>
  <c r="U64" i="13"/>
  <c r="I72" i="13"/>
  <c r="I152" i="10"/>
  <c r="I138" i="10"/>
  <c r="AV156" i="10"/>
  <c r="AV152" i="11"/>
  <c r="AV165" i="11" s="1"/>
  <c r="F294" i="11"/>
  <c r="AV160" i="10"/>
  <c r="F114" i="11"/>
  <c r="F132" i="11" s="1"/>
  <c r="F72" i="11"/>
  <c r="AV160" i="11" s="1"/>
  <c r="R66" i="10"/>
  <c r="F114" i="26" s="1"/>
  <c r="R65" i="10"/>
  <c r="F113" i="26" s="1"/>
  <c r="R64" i="11"/>
  <c r="F120" i="10"/>
  <c r="F134" i="10"/>
  <c r="F72" i="13"/>
  <c r="R60" i="13"/>
  <c r="F295" i="11"/>
  <c r="F116" i="13"/>
  <c r="F117" i="13"/>
  <c r="F135" i="13" s="1"/>
  <c r="Y72" i="13"/>
  <c r="H67" i="10"/>
  <c r="H67" i="11" s="1"/>
  <c r="AG68" i="13"/>
  <c r="H63" i="11"/>
  <c r="AG69" i="13"/>
  <c r="AG69" i="11"/>
  <c r="H69" i="10"/>
  <c r="T41" i="10"/>
  <c r="H71" i="10"/>
  <c r="AG71" i="11"/>
  <c r="AG71" i="13"/>
  <c r="T43" i="10"/>
  <c r="H40" i="11"/>
  <c r="T40" i="11" s="1"/>
  <c r="H44" i="13"/>
  <c r="T44" i="13" s="1"/>
  <c r="H37" i="11"/>
  <c r="T37" i="11" s="1"/>
  <c r="AG66" i="13"/>
  <c r="H66" i="10"/>
  <c r="AG66" i="11"/>
  <c r="H68" i="13"/>
  <c r="H68" i="11"/>
  <c r="AG70" i="11"/>
  <c r="H70" i="10"/>
  <c r="AG70" i="13"/>
  <c r="AG60" i="11"/>
  <c r="H60" i="10"/>
  <c r="AG60" i="13"/>
  <c r="AG72" i="10"/>
  <c r="AG64" i="13"/>
  <c r="H64" i="10"/>
  <c r="AG64" i="11"/>
  <c r="T39" i="10"/>
  <c r="AA69" i="11"/>
  <c r="AA69" i="13"/>
  <c r="AF85" i="10"/>
  <c r="E69" i="10"/>
  <c r="E66" i="10"/>
  <c r="AF82" i="10"/>
  <c r="AA66" i="13"/>
  <c r="AA66" i="11"/>
  <c r="AF77" i="10"/>
  <c r="AA61" i="13"/>
  <c r="AA61" i="11"/>
  <c r="E61" i="10"/>
  <c r="E67" i="10"/>
  <c r="AA67" i="11"/>
  <c r="AF83" i="10"/>
  <c r="AA67" i="13"/>
  <c r="Q36" i="10"/>
  <c r="E36" i="13"/>
  <c r="Q36" i="13" s="1"/>
  <c r="E33" i="11"/>
  <c r="Q33" i="10"/>
  <c r="AA68" i="13"/>
  <c r="AF84" i="10"/>
  <c r="E68" i="10"/>
  <c r="AA68" i="11"/>
  <c r="E43" i="13"/>
  <c r="Q43" i="13" s="1"/>
  <c r="Q43" i="10"/>
  <c r="AA60" i="13"/>
  <c r="AA60" i="11"/>
  <c r="E60" i="10"/>
  <c r="AA72" i="10"/>
  <c r="AF76" i="10"/>
  <c r="Q35" i="10"/>
  <c r="AF87" i="10"/>
  <c r="E71" i="10"/>
  <c r="AA71" i="11"/>
  <c r="AA71" i="13"/>
  <c r="AA64" i="11"/>
  <c r="AA64" i="13"/>
  <c r="E64" i="10"/>
  <c r="AF80" i="10"/>
  <c r="AF79" i="10"/>
  <c r="E63" i="10"/>
  <c r="AA63" i="13"/>
  <c r="AA63" i="11"/>
  <c r="E118" i="25" l="1"/>
  <c r="E136" i="25" s="1"/>
  <c r="M69" i="25"/>
  <c r="T77" i="25"/>
  <c r="T154" i="25" s="1"/>
  <c r="J66" i="25"/>
  <c r="H62" i="13"/>
  <c r="H168" i="11"/>
  <c r="H168" i="13"/>
  <c r="F120" i="26"/>
  <c r="E117" i="25"/>
  <c r="E135" i="25" s="1"/>
  <c r="J135" i="25" s="1"/>
  <c r="J70" i="25"/>
  <c r="M60" i="25"/>
  <c r="E65" i="13"/>
  <c r="M65" i="13" s="1"/>
  <c r="M70" i="10"/>
  <c r="G113" i="13"/>
  <c r="G131" i="13" s="1"/>
  <c r="M61" i="25"/>
  <c r="Q61" i="25" s="1"/>
  <c r="Q71" i="25"/>
  <c r="J61" i="25"/>
  <c r="J67" i="25"/>
  <c r="Q60" i="25"/>
  <c r="J68" i="25"/>
  <c r="Q72" i="25"/>
  <c r="T73" i="25"/>
  <c r="T158" i="25" s="1"/>
  <c r="AX153" i="25"/>
  <c r="AX154" i="25" s="1"/>
  <c r="AU152" i="25"/>
  <c r="I122" i="26"/>
  <c r="R192" i="25"/>
  <c r="J168" i="25"/>
  <c r="G169" i="25" s="1"/>
  <c r="Q39" i="10"/>
  <c r="E39" i="11"/>
  <c r="Q39" i="11" s="1"/>
  <c r="I254" i="25"/>
  <c r="F116" i="26"/>
  <c r="F121" i="26" s="1"/>
  <c r="T37" i="10"/>
  <c r="H39" i="11"/>
  <c r="T39" i="11" s="1"/>
  <c r="H33" i="13"/>
  <c r="T33" i="13" s="1"/>
  <c r="T34" i="10"/>
  <c r="H42" i="11"/>
  <c r="T42" i="11" s="1"/>
  <c r="U76" i="25"/>
  <c r="T44" i="10"/>
  <c r="T33" i="10"/>
  <c r="H34" i="11"/>
  <c r="T34" i="11" s="1"/>
  <c r="AC155" i="25"/>
  <c r="H152" i="25"/>
  <c r="H138" i="25"/>
  <c r="H43" i="13"/>
  <c r="T43" i="13" s="1"/>
  <c r="H35" i="11"/>
  <c r="T35" i="11" s="1"/>
  <c r="T157" i="25"/>
  <c r="U72" i="25"/>
  <c r="T65" i="25"/>
  <c r="H111" i="26"/>
  <c r="H112" i="26" s="1"/>
  <c r="H120" i="26" s="1"/>
  <c r="AX157" i="25"/>
  <c r="T61" i="25"/>
  <c r="T82" i="25" s="1"/>
  <c r="T83" i="25" s="1"/>
  <c r="T33" i="25"/>
  <c r="H117" i="26"/>
  <c r="T40" i="10"/>
  <c r="H41" i="11"/>
  <c r="T41" i="11" s="1"/>
  <c r="AC159" i="25"/>
  <c r="H156" i="25"/>
  <c r="H35" i="13"/>
  <c r="T35" i="13" s="1"/>
  <c r="J136" i="25"/>
  <c r="AX160" i="25"/>
  <c r="S181" i="25"/>
  <c r="AX156" i="25"/>
  <c r="H120" i="25"/>
  <c r="Q40" i="10"/>
  <c r="E40" i="11"/>
  <c r="Q40" i="11" s="1"/>
  <c r="E35" i="11"/>
  <c r="Q35" i="11" s="1"/>
  <c r="E41" i="13"/>
  <c r="Q41" i="13" s="1"/>
  <c r="E37" i="11"/>
  <c r="Q37" i="11" s="1"/>
  <c r="Q41" i="10"/>
  <c r="E38" i="11"/>
  <c r="Q38" i="11" s="1"/>
  <c r="J65" i="10"/>
  <c r="Q38" i="10"/>
  <c r="Q33" i="25"/>
  <c r="R170" i="25"/>
  <c r="Q170" i="25"/>
  <c r="E37" i="13"/>
  <c r="Q37" i="13" s="1"/>
  <c r="E65" i="11"/>
  <c r="E42" i="13"/>
  <c r="Q42" i="13" s="1"/>
  <c r="E42" i="11"/>
  <c r="Q42" i="11" s="1"/>
  <c r="Q42" i="10"/>
  <c r="E34" i="11"/>
  <c r="Q34" i="11" s="1"/>
  <c r="Q34" i="10"/>
  <c r="R171" i="10" s="1"/>
  <c r="M65" i="10"/>
  <c r="Q64" i="25"/>
  <c r="E114" i="25"/>
  <c r="E132" i="25" s="1"/>
  <c r="J132" i="25" s="1"/>
  <c r="E113" i="25"/>
  <c r="E131" i="25" s="1"/>
  <c r="J131" i="25" s="1"/>
  <c r="J65" i="25"/>
  <c r="M65" i="25"/>
  <c r="Q76" i="25"/>
  <c r="Q75" i="25"/>
  <c r="E112" i="25"/>
  <c r="AC173" i="25"/>
  <c r="E156" i="25"/>
  <c r="J134" i="25"/>
  <c r="E72" i="25"/>
  <c r="Q38" i="25"/>
  <c r="R165" i="25"/>
  <c r="E111" i="26"/>
  <c r="E117" i="26" s="1"/>
  <c r="G116" i="26"/>
  <c r="G121" i="26" s="1"/>
  <c r="G122" i="26" s="1"/>
  <c r="S93" i="26" s="1"/>
  <c r="B29" i="18"/>
  <c r="M29" i="18" s="1"/>
  <c r="G248" i="25"/>
  <c r="G117" i="13"/>
  <c r="G135" i="13" s="1"/>
  <c r="G117" i="11"/>
  <c r="G135" i="11" s="1"/>
  <c r="F97" i="13"/>
  <c r="H61" i="11"/>
  <c r="J62" i="10"/>
  <c r="F168" i="11"/>
  <c r="F168" i="13"/>
  <c r="E168" i="13"/>
  <c r="E168" i="11"/>
  <c r="F138" i="11"/>
  <c r="S60" i="11"/>
  <c r="G116" i="11"/>
  <c r="G134" i="11" s="1"/>
  <c r="G156" i="11" s="1"/>
  <c r="AV165" i="13"/>
  <c r="G160" i="10"/>
  <c r="AW172" i="10" s="1"/>
  <c r="E70" i="13"/>
  <c r="M70" i="13" s="1"/>
  <c r="E70" i="11"/>
  <c r="M70" i="11" s="1"/>
  <c r="M62" i="10"/>
  <c r="E62" i="13"/>
  <c r="M62" i="13" s="1"/>
  <c r="E62" i="11"/>
  <c r="G97" i="13"/>
  <c r="AB87" i="10"/>
  <c r="G116" i="13"/>
  <c r="G134" i="13" s="1"/>
  <c r="G156" i="13" s="1"/>
  <c r="AW165" i="10"/>
  <c r="G248" i="10"/>
  <c r="G258" i="10" s="1"/>
  <c r="G245" i="11"/>
  <c r="G255" i="11" s="1"/>
  <c r="G118" i="11"/>
  <c r="G136" i="11" s="1"/>
  <c r="G120" i="14"/>
  <c r="G246" i="13"/>
  <c r="G256" i="13" s="1"/>
  <c r="AC87" i="10"/>
  <c r="G294" i="11"/>
  <c r="S64" i="13"/>
  <c r="G114" i="13"/>
  <c r="G132" i="13" s="1"/>
  <c r="H67" i="13"/>
  <c r="AX152" i="13" s="1"/>
  <c r="G112" i="13"/>
  <c r="G130" i="13" s="1"/>
  <c r="G152" i="13" s="1"/>
  <c r="G295" i="13"/>
  <c r="G72" i="11"/>
  <c r="G295" i="11" s="1"/>
  <c r="G112" i="11"/>
  <c r="G130" i="11" s="1"/>
  <c r="G152" i="11" s="1"/>
  <c r="G114" i="11"/>
  <c r="G132" i="11" s="1"/>
  <c r="G116" i="14"/>
  <c r="G113" i="11"/>
  <c r="G131" i="11" s="1"/>
  <c r="T61" i="10"/>
  <c r="Q157" i="10" s="1"/>
  <c r="AW156" i="10"/>
  <c r="AW168" i="10" s="1"/>
  <c r="G118" i="13"/>
  <c r="G136" i="13" s="1"/>
  <c r="AX152" i="10"/>
  <c r="T65" i="10"/>
  <c r="Q153" i="10" s="1"/>
  <c r="G120" i="10"/>
  <c r="G72" i="13"/>
  <c r="G296" i="13" s="1"/>
  <c r="S60" i="13"/>
  <c r="I120" i="11"/>
  <c r="G138" i="10"/>
  <c r="S64" i="11"/>
  <c r="J168" i="10"/>
  <c r="AC72" i="11"/>
  <c r="AC72" i="13"/>
  <c r="G168" i="13"/>
  <c r="AG72" i="13"/>
  <c r="F120" i="11"/>
  <c r="G168" i="11"/>
  <c r="I295" i="11"/>
  <c r="AY156" i="11"/>
  <c r="AY168" i="11" s="1"/>
  <c r="AY160" i="11"/>
  <c r="I160" i="10"/>
  <c r="AY165" i="10"/>
  <c r="I130" i="13"/>
  <c r="I120" i="13"/>
  <c r="I296" i="13"/>
  <c r="AY156" i="13"/>
  <c r="AY168" i="13" s="1"/>
  <c r="AY160" i="13"/>
  <c r="AV156" i="11"/>
  <c r="AV168" i="11" s="1"/>
  <c r="F113" i="14"/>
  <c r="R65" i="11"/>
  <c r="R65" i="13"/>
  <c r="E189" i="10"/>
  <c r="E190" i="10" s="1"/>
  <c r="F160" i="11"/>
  <c r="AV172" i="11" s="1"/>
  <c r="F114" i="14"/>
  <c r="R66" i="11"/>
  <c r="R66" i="13"/>
  <c r="AV160" i="13"/>
  <c r="F296" i="13"/>
  <c r="AV156" i="13"/>
  <c r="F120" i="13"/>
  <c r="F134" i="13"/>
  <c r="F156" i="10"/>
  <c r="F138" i="10"/>
  <c r="E111" i="14"/>
  <c r="H69" i="11"/>
  <c r="H69" i="13"/>
  <c r="H71" i="11"/>
  <c r="H71" i="13"/>
  <c r="H64" i="13"/>
  <c r="H64" i="11"/>
  <c r="H72" i="10"/>
  <c r="H60" i="11"/>
  <c r="T60" i="10"/>
  <c r="T72" i="10"/>
  <c r="H60" i="13"/>
  <c r="H118" i="10"/>
  <c r="H136" i="10" s="1"/>
  <c r="H116" i="10"/>
  <c r="H134" i="10" s="1"/>
  <c r="T71" i="10"/>
  <c r="H117" i="10"/>
  <c r="H135" i="10" s="1"/>
  <c r="AG72" i="11"/>
  <c r="AX152" i="11"/>
  <c r="T33" i="11"/>
  <c r="H70" i="13"/>
  <c r="H70" i="11"/>
  <c r="J70" i="10"/>
  <c r="H66" i="11"/>
  <c r="H66" i="13"/>
  <c r="H112" i="10"/>
  <c r="H111" i="14"/>
  <c r="H113" i="10"/>
  <c r="H131" i="10" s="1"/>
  <c r="T64" i="10"/>
  <c r="AX153" i="10"/>
  <c r="H114" i="10"/>
  <c r="H132" i="10" s="1"/>
  <c r="T75" i="10"/>
  <c r="T76" i="10"/>
  <c r="AX157" i="10"/>
  <c r="M69" i="10"/>
  <c r="E69" i="11"/>
  <c r="E69" i="13"/>
  <c r="J69" i="10"/>
  <c r="E61" i="11"/>
  <c r="J61" i="10"/>
  <c r="M61" i="10"/>
  <c r="E61" i="13"/>
  <c r="R165" i="10"/>
  <c r="E66" i="13"/>
  <c r="E66" i="11"/>
  <c r="J66" i="10"/>
  <c r="M66" i="10"/>
  <c r="E60" i="11"/>
  <c r="Q60" i="10"/>
  <c r="E116" i="10"/>
  <c r="E134" i="10" s="1"/>
  <c r="E117" i="10"/>
  <c r="E135" i="10" s="1"/>
  <c r="Q71" i="10"/>
  <c r="Q72" i="10"/>
  <c r="E72" i="10"/>
  <c r="E118" i="10"/>
  <c r="E136" i="10" s="1"/>
  <c r="E60" i="13"/>
  <c r="J60" i="10"/>
  <c r="M60" i="10"/>
  <c r="R170" i="10"/>
  <c r="AA72" i="11"/>
  <c r="Q33" i="11"/>
  <c r="E63" i="13"/>
  <c r="J63" i="10"/>
  <c r="M63" i="10"/>
  <c r="E63" i="11"/>
  <c r="M64" i="10"/>
  <c r="E64" i="11"/>
  <c r="J64" i="10"/>
  <c r="E64" i="13"/>
  <c r="AA72" i="13"/>
  <c r="E71" i="13"/>
  <c r="E71" i="11"/>
  <c r="M71" i="10"/>
  <c r="J71" i="10"/>
  <c r="Q38" i="13"/>
  <c r="E68" i="11"/>
  <c r="E68" i="13"/>
  <c r="M68" i="10"/>
  <c r="J68" i="10"/>
  <c r="Q33" i="13"/>
  <c r="AU152" i="10"/>
  <c r="E67" i="11"/>
  <c r="E67" i="13"/>
  <c r="Q64" i="10"/>
  <c r="J67" i="10"/>
  <c r="E112" i="10"/>
  <c r="Q76" i="10"/>
  <c r="M67" i="10"/>
  <c r="E113" i="10"/>
  <c r="E131" i="10" s="1"/>
  <c r="Q75" i="10"/>
  <c r="E114" i="10"/>
  <c r="E132" i="10" s="1"/>
  <c r="I152" i="11"/>
  <c r="I138" i="11"/>
  <c r="J65" i="13" l="1"/>
  <c r="F122" i="26"/>
  <c r="R93" i="26" s="1"/>
  <c r="M72" i="25"/>
  <c r="R72" i="25"/>
  <c r="T170" i="25"/>
  <c r="W170" i="25" s="1"/>
  <c r="Q82" i="25"/>
  <c r="Q83" i="25" s="1"/>
  <c r="Q73" i="25"/>
  <c r="T171" i="25" s="1"/>
  <c r="T65" i="11"/>
  <c r="Q153" i="11" s="1"/>
  <c r="H180" i="25"/>
  <c r="E209" i="25" s="1"/>
  <c r="H177" i="25"/>
  <c r="F169" i="25"/>
  <c r="H179" i="25"/>
  <c r="H180" i="10"/>
  <c r="F208" i="10" s="1"/>
  <c r="F228" i="10" s="1"/>
  <c r="R196" i="25"/>
  <c r="U192" i="25"/>
  <c r="U196" i="25" s="1"/>
  <c r="R166" i="10"/>
  <c r="R167" i="10" s="1"/>
  <c r="I259" i="25"/>
  <c r="I260" i="25" s="1"/>
  <c r="F251" i="25"/>
  <c r="F252" i="25"/>
  <c r="H118" i="26"/>
  <c r="H121" i="26" s="1"/>
  <c r="H122" i="26" s="1"/>
  <c r="Q153" i="25"/>
  <c r="U65" i="25"/>
  <c r="T66" i="25"/>
  <c r="Q154" i="25" s="1"/>
  <c r="W154" i="25" s="1"/>
  <c r="H154" i="25" s="1"/>
  <c r="AX167" i="25" s="1"/>
  <c r="T86" i="25"/>
  <c r="T87" i="25" s="1"/>
  <c r="H160" i="25"/>
  <c r="AX172" i="25" s="1"/>
  <c r="AX165" i="25"/>
  <c r="AX168" i="25"/>
  <c r="AX158" i="25"/>
  <c r="U61" i="25"/>
  <c r="Q157" i="25"/>
  <c r="T62" i="25"/>
  <c r="Q158" i="25" s="1"/>
  <c r="W158" i="25" s="1"/>
  <c r="H158" i="25" s="1"/>
  <c r="H249" i="25"/>
  <c r="S188" i="25"/>
  <c r="S187" i="25"/>
  <c r="E112" i="26"/>
  <c r="E120" i="26" s="1"/>
  <c r="J120" i="26" s="1"/>
  <c r="Q65" i="25"/>
  <c r="Q86" i="25" s="1"/>
  <c r="Q87" i="25" s="1"/>
  <c r="Q165" i="25"/>
  <c r="R166" i="25"/>
  <c r="R167" i="25" s="1"/>
  <c r="Q166" i="25"/>
  <c r="T165" i="25"/>
  <c r="R76" i="25"/>
  <c r="P181" i="25"/>
  <c r="J72" i="25"/>
  <c r="AU156" i="25"/>
  <c r="AU168" i="25" s="1"/>
  <c r="AU160" i="25"/>
  <c r="Q66" i="25"/>
  <c r="M65" i="11"/>
  <c r="J65" i="11"/>
  <c r="E130" i="25"/>
  <c r="E120" i="25"/>
  <c r="C122" i="25" s="1"/>
  <c r="Z172" i="25"/>
  <c r="Q77" i="25"/>
  <c r="T166" i="25" s="1"/>
  <c r="Q171" i="25"/>
  <c r="Q173" i="25" s="1"/>
  <c r="Q62" i="25"/>
  <c r="R171" i="25"/>
  <c r="R172" i="25" s="1"/>
  <c r="G258" i="25"/>
  <c r="G254" i="25"/>
  <c r="E117" i="14"/>
  <c r="E253" i="13" s="1"/>
  <c r="E249" i="25"/>
  <c r="J70" i="13"/>
  <c r="R101" i="26"/>
  <c r="S101" i="26"/>
  <c r="J168" i="13"/>
  <c r="H180" i="13" s="1"/>
  <c r="F206" i="13" s="1"/>
  <c r="G121" i="14"/>
  <c r="G122" i="14" s="1"/>
  <c r="J168" i="11"/>
  <c r="H179" i="11" s="1"/>
  <c r="G203" i="11" s="1"/>
  <c r="G219" i="11" s="1"/>
  <c r="G265" i="11" s="1"/>
  <c r="G32" i="14" s="1"/>
  <c r="G251" i="11"/>
  <c r="G256" i="11" s="1"/>
  <c r="G257" i="11" s="1"/>
  <c r="J70" i="11"/>
  <c r="J62" i="13"/>
  <c r="J62" i="11"/>
  <c r="M62" i="11"/>
  <c r="AW156" i="13"/>
  <c r="AW168" i="13" s="1"/>
  <c r="I97" i="13"/>
  <c r="H97" i="13"/>
  <c r="G138" i="11"/>
  <c r="G120" i="13"/>
  <c r="AW156" i="11"/>
  <c r="AW168" i="11" s="1"/>
  <c r="T62" i="10"/>
  <c r="Q158" i="10" s="1"/>
  <c r="G138" i="13"/>
  <c r="C29" i="18"/>
  <c r="N29" i="18" s="1"/>
  <c r="AW160" i="11"/>
  <c r="G254" i="10"/>
  <c r="G259" i="10" s="1"/>
  <c r="G260" i="10" s="1"/>
  <c r="G120" i="11"/>
  <c r="AW173" i="10"/>
  <c r="G252" i="13"/>
  <c r="G257" i="13" s="1"/>
  <c r="G258" i="13" s="1"/>
  <c r="AW160" i="13"/>
  <c r="T66" i="10"/>
  <c r="Q154" i="10" s="1"/>
  <c r="H179" i="10"/>
  <c r="E206" i="10" s="1"/>
  <c r="E186" i="11"/>
  <c r="E187" i="11" s="1"/>
  <c r="E246" i="11"/>
  <c r="E247" i="13"/>
  <c r="B24" i="18"/>
  <c r="M24" i="18" s="1"/>
  <c r="E112" i="14"/>
  <c r="E249" i="10"/>
  <c r="AV173" i="11"/>
  <c r="AX157" i="11"/>
  <c r="T61" i="13"/>
  <c r="Q157" i="13" s="1"/>
  <c r="I152" i="13"/>
  <c r="I138" i="13"/>
  <c r="AY172" i="10"/>
  <c r="AY173" i="10" s="1"/>
  <c r="B21" i="18"/>
  <c r="M21" i="18" s="1"/>
  <c r="F248" i="11"/>
  <c r="F120" i="14"/>
  <c r="F251" i="10"/>
  <c r="F249" i="13"/>
  <c r="F116" i="14"/>
  <c r="F249" i="11"/>
  <c r="B22" i="18"/>
  <c r="M22" i="18" s="1"/>
  <c r="F252" i="10"/>
  <c r="F250" i="13"/>
  <c r="E189" i="13"/>
  <c r="E190" i="13" s="1"/>
  <c r="F160" i="10"/>
  <c r="AV168" i="10"/>
  <c r="F138" i="13"/>
  <c r="F156" i="13"/>
  <c r="AV168" i="13" s="1"/>
  <c r="G160" i="13"/>
  <c r="AW165" i="13"/>
  <c r="Q171" i="10"/>
  <c r="T73" i="10"/>
  <c r="T158" i="10" s="1"/>
  <c r="H120" i="10"/>
  <c r="H130" i="10"/>
  <c r="AX154" i="10"/>
  <c r="U61" i="10"/>
  <c r="T76" i="13"/>
  <c r="AX153" i="13"/>
  <c r="H112" i="13"/>
  <c r="H113" i="13"/>
  <c r="H131" i="13" s="1"/>
  <c r="H114" i="13"/>
  <c r="H132" i="13" s="1"/>
  <c r="H295" i="13"/>
  <c r="T75" i="13"/>
  <c r="T64" i="13"/>
  <c r="T72" i="11"/>
  <c r="H72" i="11"/>
  <c r="T71" i="11"/>
  <c r="T60" i="11"/>
  <c r="H118" i="11"/>
  <c r="H136" i="11" s="1"/>
  <c r="H117" i="11"/>
  <c r="H135" i="11" s="1"/>
  <c r="H116" i="11"/>
  <c r="H134" i="11" s="1"/>
  <c r="AX157" i="13"/>
  <c r="T77" i="10"/>
  <c r="T154" i="10" s="1"/>
  <c r="H112" i="11"/>
  <c r="T64" i="11"/>
  <c r="H114" i="11"/>
  <c r="H132" i="11" s="1"/>
  <c r="H294" i="11"/>
  <c r="T76" i="11"/>
  <c r="AX153" i="11"/>
  <c r="AX154" i="11" s="1"/>
  <c r="T75" i="11"/>
  <c r="H113" i="11"/>
  <c r="H131" i="11" s="1"/>
  <c r="T61" i="11"/>
  <c r="H116" i="13"/>
  <c r="H134" i="13" s="1"/>
  <c r="T60" i="13"/>
  <c r="H118" i="13"/>
  <c r="H136" i="13" s="1"/>
  <c r="T71" i="13"/>
  <c r="T72" i="13"/>
  <c r="H72" i="13"/>
  <c r="H117" i="13"/>
  <c r="H135" i="13" s="1"/>
  <c r="U65" i="10"/>
  <c r="H156" i="10"/>
  <c r="T153" i="10"/>
  <c r="W153" i="10" s="1"/>
  <c r="H153" i="10" s="1"/>
  <c r="T86" i="10"/>
  <c r="T87" i="10" s="1"/>
  <c r="U76" i="10"/>
  <c r="T65" i="13"/>
  <c r="H247" i="13"/>
  <c r="H249" i="10"/>
  <c r="H117" i="14"/>
  <c r="B31" i="18"/>
  <c r="M31" i="18" s="1"/>
  <c r="H112" i="14"/>
  <c r="H246" i="11"/>
  <c r="T82" i="10"/>
  <c r="T83" i="10" s="1"/>
  <c r="U72" i="10"/>
  <c r="T157" i="10"/>
  <c r="W157" i="10" s="1"/>
  <c r="H157" i="10" s="1"/>
  <c r="AX156" i="10"/>
  <c r="AX160" i="10"/>
  <c r="J66" i="11"/>
  <c r="M66" i="11"/>
  <c r="M69" i="13"/>
  <c r="J69" i="13"/>
  <c r="M61" i="11"/>
  <c r="J61" i="11"/>
  <c r="M61" i="13"/>
  <c r="J61" i="13"/>
  <c r="M66" i="13"/>
  <c r="J66" i="13"/>
  <c r="J69" i="11"/>
  <c r="M69" i="11"/>
  <c r="J131" i="10"/>
  <c r="E120" i="10"/>
  <c r="E130" i="10"/>
  <c r="M67" i="11"/>
  <c r="E294" i="11"/>
  <c r="AU152" i="11"/>
  <c r="J67" i="11"/>
  <c r="Q76" i="11"/>
  <c r="Q64" i="11"/>
  <c r="E113" i="11"/>
  <c r="E131" i="11" s="1"/>
  <c r="E114" i="11"/>
  <c r="E132" i="11" s="1"/>
  <c r="Q75" i="11"/>
  <c r="E112" i="11"/>
  <c r="R171" i="13"/>
  <c r="M68" i="13"/>
  <c r="J68" i="13"/>
  <c r="M71" i="11"/>
  <c r="J71" i="11"/>
  <c r="J63" i="13"/>
  <c r="M63" i="13"/>
  <c r="R172" i="10"/>
  <c r="M72" i="10"/>
  <c r="Q170" i="10"/>
  <c r="Q61" i="10"/>
  <c r="Q82" i="10" s="1"/>
  <c r="Q83" i="10" s="1"/>
  <c r="AU160" i="10"/>
  <c r="J72" i="10"/>
  <c r="AU156" i="10"/>
  <c r="J135" i="10"/>
  <c r="Q165" i="10"/>
  <c r="Q65" i="10"/>
  <c r="Q86" i="10" s="1"/>
  <c r="Q87" i="10" s="1"/>
  <c r="R170" i="13"/>
  <c r="M68" i="11"/>
  <c r="J68" i="11"/>
  <c r="M71" i="13"/>
  <c r="J71" i="13"/>
  <c r="Q166" i="10"/>
  <c r="R165" i="11"/>
  <c r="J64" i="13"/>
  <c r="M64" i="13"/>
  <c r="J63" i="11"/>
  <c r="M63" i="11"/>
  <c r="R72" i="10"/>
  <c r="T170" i="10"/>
  <c r="J134" i="10"/>
  <c r="E156" i="10"/>
  <c r="J132" i="10"/>
  <c r="R76" i="10"/>
  <c r="T165" i="10"/>
  <c r="R165" i="13"/>
  <c r="R166" i="11"/>
  <c r="R170" i="11"/>
  <c r="E72" i="13"/>
  <c r="E118" i="13"/>
  <c r="E136" i="13" s="1"/>
  <c r="E116" i="13"/>
  <c r="E134" i="13" s="1"/>
  <c r="Q71" i="13"/>
  <c r="J60" i="13"/>
  <c r="Q60" i="13"/>
  <c r="E117" i="13"/>
  <c r="E135" i="13" s="1"/>
  <c r="Q72" i="13"/>
  <c r="M60" i="13"/>
  <c r="J136" i="10"/>
  <c r="Q77" i="10"/>
  <c r="T166" i="10" s="1"/>
  <c r="J67" i="13"/>
  <c r="M67" i="13"/>
  <c r="AU152" i="13"/>
  <c r="E113" i="13"/>
  <c r="E131" i="13" s="1"/>
  <c r="Q64" i="13"/>
  <c r="E112" i="13"/>
  <c r="E295" i="13"/>
  <c r="Q76" i="13"/>
  <c r="Q75" i="13"/>
  <c r="E114" i="13"/>
  <c r="E132" i="13" s="1"/>
  <c r="R166" i="13"/>
  <c r="Q62" i="10"/>
  <c r="Q66" i="10"/>
  <c r="J64" i="11"/>
  <c r="M64" i="11"/>
  <c r="R171" i="11"/>
  <c r="Q73" i="10"/>
  <c r="T171" i="10" s="1"/>
  <c r="Q71" i="11"/>
  <c r="M60" i="11"/>
  <c r="Q60" i="11"/>
  <c r="E72" i="11"/>
  <c r="J60" i="11"/>
  <c r="Q72" i="11"/>
  <c r="E118" i="11"/>
  <c r="E136" i="11" s="1"/>
  <c r="E116" i="11"/>
  <c r="E134" i="11" s="1"/>
  <c r="E117" i="11"/>
  <c r="E135" i="11" s="1"/>
  <c r="AW165" i="11"/>
  <c r="G160" i="11"/>
  <c r="I160" i="11"/>
  <c r="AY165" i="11"/>
  <c r="T66" i="11" l="1"/>
  <c r="Q154" i="11" s="1"/>
  <c r="H179" i="13"/>
  <c r="G204" i="13" s="1"/>
  <c r="G220" i="13" s="1"/>
  <c r="G266" i="13" s="1"/>
  <c r="G11" i="14" s="1"/>
  <c r="G22" i="14" s="1"/>
  <c r="E208" i="25"/>
  <c r="E228" i="25" s="1"/>
  <c r="E274" i="25" s="1"/>
  <c r="E70" i="26" s="1"/>
  <c r="AX170" i="25"/>
  <c r="E208" i="10"/>
  <c r="E228" i="10" s="1"/>
  <c r="E274" i="10" s="1"/>
  <c r="G208" i="10"/>
  <c r="G228" i="10" s="1"/>
  <c r="G274" i="10" s="1"/>
  <c r="G280" i="10" s="1"/>
  <c r="I208" i="10"/>
  <c r="I228" i="10" s="1"/>
  <c r="H209" i="25"/>
  <c r="E209" i="10"/>
  <c r="H209" i="10"/>
  <c r="H229" i="10" s="1"/>
  <c r="G206" i="13"/>
  <c r="G226" i="13" s="1"/>
  <c r="G272" i="13" s="1"/>
  <c r="F206" i="25"/>
  <c r="F222" i="25" s="1"/>
  <c r="F225" i="25" s="1"/>
  <c r="F226" i="25" s="1"/>
  <c r="F272" i="25" s="1"/>
  <c r="F68" i="26" s="1"/>
  <c r="I206" i="25"/>
  <c r="I222" i="25" s="1"/>
  <c r="I268" i="25" s="1"/>
  <c r="G206" i="25"/>
  <c r="G222" i="25" s="1"/>
  <c r="G268" i="25" s="1"/>
  <c r="G279" i="25" s="1"/>
  <c r="H181" i="25"/>
  <c r="E206" i="25"/>
  <c r="E207" i="25"/>
  <c r="I208" i="25"/>
  <c r="I228" i="25" s="1"/>
  <c r="I274" i="25" s="1"/>
  <c r="I70" i="26" s="1"/>
  <c r="I76" i="26" s="1"/>
  <c r="G208" i="25"/>
  <c r="G228" i="25" s="1"/>
  <c r="G274" i="25" s="1"/>
  <c r="F208" i="25"/>
  <c r="F228" i="25" s="1"/>
  <c r="E255" i="10"/>
  <c r="C24" i="18"/>
  <c r="N24" i="18" s="1"/>
  <c r="E118" i="26"/>
  <c r="E121" i="26" s="1"/>
  <c r="J121" i="26" s="1"/>
  <c r="Q168" i="25"/>
  <c r="F258" i="25"/>
  <c r="H255" i="25"/>
  <c r="AX173" i="25"/>
  <c r="H207" i="25"/>
  <c r="W153" i="25"/>
  <c r="H153" i="25" s="1"/>
  <c r="H250" i="25"/>
  <c r="H258" i="25" s="1"/>
  <c r="W157" i="25"/>
  <c r="H157" i="25" s="1"/>
  <c r="H230" i="25"/>
  <c r="Z158" i="25"/>
  <c r="H224" i="25"/>
  <c r="H270" i="25" s="1"/>
  <c r="H66" i="26" s="1"/>
  <c r="Z154" i="25"/>
  <c r="U170" i="25"/>
  <c r="X170" i="25" s="1"/>
  <c r="E157" i="25" s="1"/>
  <c r="Z170" i="25" s="1"/>
  <c r="W166" i="25"/>
  <c r="U166" i="25"/>
  <c r="X166" i="25" s="1"/>
  <c r="E154" i="25" s="1"/>
  <c r="E252" i="11"/>
  <c r="W165" i="25"/>
  <c r="U165" i="25"/>
  <c r="X165" i="25" s="1"/>
  <c r="E153" i="25" s="1"/>
  <c r="AC168" i="25"/>
  <c r="AC175" i="25" s="1"/>
  <c r="J130" i="25"/>
  <c r="E152" i="25"/>
  <c r="E138" i="25"/>
  <c r="P187" i="25"/>
  <c r="U181" i="25"/>
  <c r="P188" i="25"/>
  <c r="W171" i="25"/>
  <c r="U171" i="25"/>
  <c r="X171" i="25" s="1"/>
  <c r="E158" i="25" s="1"/>
  <c r="F254" i="25"/>
  <c r="G259" i="25"/>
  <c r="G260" i="25" s="1"/>
  <c r="G11" i="26"/>
  <c r="E247" i="11"/>
  <c r="E255" i="11" s="1"/>
  <c r="E250" i="25"/>
  <c r="E255" i="25"/>
  <c r="E207" i="13"/>
  <c r="I206" i="13"/>
  <c r="I226" i="13" s="1"/>
  <c r="H207" i="13"/>
  <c r="J295" i="13"/>
  <c r="F300" i="13" s="1"/>
  <c r="G300" i="13" s="1"/>
  <c r="E204" i="11"/>
  <c r="I203" i="11"/>
  <c r="I219" i="11" s="1"/>
  <c r="I265" i="11" s="1"/>
  <c r="I32" i="14" s="1"/>
  <c r="F203" i="11"/>
  <c r="F219" i="11" s="1"/>
  <c r="F222" i="11" s="1"/>
  <c r="F223" i="11" s="1"/>
  <c r="F269" i="11" s="1"/>
  <c r="F36" i="14" s="1"/>
  <c r="H204" i="11"/>
  <c r="E203" i="11"/>
  <c r="H180" i="11"/>
  <c r="I205" i="11" s="1"/>
  <c r="I225" i="11" s="1"/>
  <c r="W158" i="10"/>
  <c r="H158" i="10" s="1"/>
  <c r="H230" i="10" s="1"/>
  <c r="H207" i="10"/>
  <c r="H223" i="10" s="1"/>
  <c r="F206" i="10"/>
  <c r="F222" i="10" s="1"/>
  <c r="F225" i="10" s="1"/>
  <c r="F226" i="10" s="1"/>
  <c r="F272" i="10" s="1"/>
  <c r="F68" i="14" s="1"/>
  <c r="H181" i="10"/>
  <c r="E207" i="10"/>
  <c r="G206" i="10"/>
  <c r="G222" i="10" s="1"/>
  <c r="G268" i="10" s="1"/>
  <c r="G279" i="10" s="1"/>
  <c r="W154" i="10"/>
  <c r="H154" i="10" s="1"/>
  <c r="H224" i="10" s="1"/>
  <c r="I206" i="10"/>
  <c r="I222" i="10" s="1"/>
  <c r="I268" i="10" s="1"/>
  <c r="I279" i="10" s="1"/>
  <c r="Q77" i="11"/>
  <c r="T166" i="11" s="1"/>
  <c r="H120" i="14"/>
  <c r="E250" i="10"/>
  <c r="E258" i="10" s="1"/>
  <c r="Q166" i="11"/>
  <c r="T62" i="13"/>
  <c r="Q158" i="13" s="1"/>
  <c r="Q171" i="13"/>
  <c r="E120" i="14"/>
  <c r="B25" i="18"/>
  <c r="M25" i="18" s="1"/>
  <c r="E248" i="13"/>
  <c r="E256" i="13" s="1"/>
  <c r="E118" i="14"/>
  <c r="E256" i="25" s="1"/>
  <c r="T62" i="11"/>
  <c r="Q158" i="11" s="1"/>
  <c r="T77" i="11"/>
  <c r="T154" i="11" s="1"/>
  <c r="W154" i="11" s="1"/>
  <c r="H154" i="11" s="1"/>
  <c r="I160" i="13"/>
  <c r="AY165" i="13"/>
  <c r="AW172" i="13"/>
  <c r="AW173" i="13" s="1"/>
  <c r="F255" i="11"/>
  <c r="F258" i="10"/>
  <c r="F121" i="14"/>
  <c r="F122" i="14" s="1"/>
  <c r="F251" i="11"/>
  <c r="C20" i="18"/>
  <c r="N20" i="18" s="1"/>
  <c r="F254" i="10"/>
  <c r="F259" i="10" s="1"/>
  <c r="F252" i="13"/>
  <c r="F257" i="13" s="1"/>
  <c r="F256" i="13"/>
  <c r="Q166" i="13"/>
  <c r="F226" i="13"/>
  <c r="F160" i="13"/>
  <c r="AV172" i="10"/>
  <c r="AV173" i="10" s="1"/>
  <c r="C122" i="10"/>
  <c r="J294" i="11"/>
  <c r="F299" i="11" s="1"/>
  <c r="G299" i="11" s="1"/>
  <c r="T73" i="13"/>
  <c r="T158" i="13" s="1"/>
  <c r="AX169" i="10"/>
  <c r="AX166" i="10"/>
  <c r="H156" i="13"/>
  <c r="AX158" i="10"/>
  <c r="AX168" i="10"/>
  <c r="B32" i="18"/>
  <c r="H248" i="13"/>
  <c r="H256" i="13" s="1"/>
  <c r="H250" i="10"/>
  <c r="H258" i="10" s="1"/>
  <c r="H247" i="11"/>
  <c r="H255" i="11" s="1"/>
  <c r="U65" i="11"/>
  <c r="H296" i="13"/>
  <c r="AX160" i="13"/>
  <c r="AX156" i="13"/>
  <c r="Q157" i="11"/>
  <c r="U61" i="11"/>
  <c r="U76" i="11"/>
  <c r="T86" i="11"/>
  <c r="T87" i="11" s="1"/>
  <c r="T153" i="11"/>
  <c r="W153" i="11" s="1"/>
  <c r="H153" i="11" s="1"/>
  <c r="H120" i="11"/>
  <c r="H130" i="11"/>
  <c r="H156" i="11"/>
  <c r="T73" i="11"/>
  <c r="T158" i="11" s="1"/>
  <c r="T77" i="13"/>
  <c r="T154" i="13" s="1"/>
  <c r="H130" i="13"/>
  <c r="H120" i="13"/>
  <c r="U61" i="13"/>
  <c r="C31" i="18"/>
  <c r="N31" i="18" s="1"/>
  <c r="H252" i="11"/>
  <c r="H253" i="13"/>
  <c r="H255" i="10"/>
  <c r="U65" i="13"/>
  <c r="Q153" i="13"/>
  <c r="T82" i="11"/>
  <c r="T83" i="11" s="1"/>
  <c r="U72" i="11"/>
  <c r="T157" i="11"/>
  <c r="U76" i="13"/>
  <c r="T86" i="13"/>
  <c r="T87" i="13" s="1"/>
  <c r="T153" i="13"/>
  <c r="T66" i="13"/>
  <c r="Q154" i="13" s="1"/>
  <c r="H118" i="14"/>
  <c r="T157" i="13"/>
  <c r="W157" i="13" s="1"/>
  <c r="H157" i="13" s="1"/>
  <c r="T82" i="13"/>
  <c r="T83" i="13" s="1"/>
  <c r="U72" i="13"/>
  <c r="AX156" i="11"/>
  <c r="AX158" i="11" s="1"/>
  <c r="H295" i="11"/>
  <c r="AX160" i="11"/>
  <c r="AX154" i="13"/>
  <c r="H138" i="10"/>
  <c r="H152" i="10"/>
  <c r="Q77" i="13"/>
  <c r="T166" i="13" s="1"/>
  <c r="Q66" i="13"/>
  <c r="J135" i="13"/>
  <c r="T170" i="11"/>
  <c r="R72" i="11"/>
  <c r="M72" i="11"/>
  <c r="Q170" i="11"/>
  <c r="Q61" i="11"/>
  <c r="Q82" i="11" s="1"/>
  <c r="Q83" i="11" s="1"/>
  <c r="Q171" i="11"/>
  <c r="J136" i="13"/>
  <c r="E156" i="13"/>
  <c r="J134" i="13"/>
  <c r="Q168" i="10"/>
  <c r="AU168" i="10"/>
  <c r="J131" i="11"/>
  <c r="E152" i="10"/>
  <c r="J130" i="10"/>
  <c r="E138" i="10"/>
  <c r="J135" i="11"/>
  <c r="Q73" i="11"/>
  <c r="T171" i="11" s="1"/>
  <c r="Q62" i="11"/>
  <c r="T165" i="13"/>
  <c r="R76" i="13"/>
  <c r="J131" i="13"/>
  <c r="U166" i="10"/>
  <c r="X166" i="10" s="1"/>
  <c r="E154" i="10" s="1"/>
  <c r="W166" i="10"/>
  <c r="M72" i="13"/>
  <c r="Q61" i="13"/>
  <c r="Q82" i="13" s="1"/>
  <c r="Q83" i="13" s="1"/>
  <c r="Q170" i="13"/>
  <c r="E130" i="11"/>
  <c r="E120" i="11"/>
  <c r="J134" i="11"/>
  <c r="E156" i="11"/>
  <c r="AU160" i="11"/>
  <c r="E295" i="11"/>
  <c r="AU156" i="11"/>
  <c r="J72" i="11"/>
  <c r="U171" i="10"/>
  <c r="X171" i="10" s="1"/>
  <c r="E158" i="10" s="1"/>
  <c r="W171" i="10"/>
  <c r="AU156" i="13"/>
  <c r="E296" i="13"/>
  <c r="AU160" i="13"/>
  <c r="J72" i="13"/>
  <c r="E206" i="13"/>
  <c r="Q66" i="11"/>
  <c r="U165" i="10"/>
  <c r="X165" i="10" s="1"/>
  <c r="E153" i="10" s="1"/>
  <c r="W165" i="10"/>
  <c r="U170" i="10"/>
  <c r="X170" i="10" s="1"/>
  <c r="E157" i="10" s="1"/>
  <c r="W170" i="10"/>
  <c r="Q173" i="10"/>
  <c r="J136" i="11"/>
  <c r="J132" i="13"/>
  <c r="E120" i="13"/>
  <c r="E130" i="13"/>
  <c r="Q65" i="13"/>
  <c r="Q86" i="13" s="1"/>
  <c r="Q87" i="13" s="1"/>
  <c r="Q165" i="13"/>
  <c r="R72" i="13"/>
  <c r="T170" i="13"/>
  <c r="Q73" i="13"/>
  <c r="T171" i="13" s="1"/>
  <c r="Q62" i="13"/>
  <c r="J132" i="11"/>
  <c r="R76" i="11"/>
  <c r="T165" i="11"/>
  <c r="Q165" i="11"/>
  <c r="Q65" i="11"/>
  <c r="Q86" i="11" s="1"/>
  <c r="Q87" i="11" s="1"/>
  <c r="AY172" i="11"/>
  <c r="AY173" i="11" s="1"/>
  <c r="AW172" i="11"/>
  <c r="AW173" i="11" s="1"/>
  <c r="G276" i="11"/>
  <c r="F204" i="13" l="1"/>
  <c r="F220" i="13" s="1"/>
  <c r="F223" i="13" s="1"/>
  <c r="F224" i="13" s="1"/>
  <c r="F270" i="13" s="1"/>
  <c r="F15" i="14" s="1"/>
  <c r="H205" i="13"/>
  <c r="E205" i="13"/>
  <c r="E204" i="13"/>
  <c r="G277" i="13"/>
  <c r="I204" i="13"/>
  <c r="I220" i="13" s="1"/>
  <c r="I266" i="13" s="1"/>
  <c r="I11" i="14" s="1"/>
  <c r="I22" i="14" s="1"/>
  <c r="H181" i="13"/>
  <c r="I203" i="13" s="1"/>
  <c r="I230" i="13" s="1"/>
  <c r="G32" i="26"/>
  <c r="G43" i="26" s="1"/>
  <c r="G38" i="26"/>
  <c r="G44" i="26" s="1"/>
  <c r="G17" i="14"/>
  <c r="I280" i="25"/>
  <c r="G70" i="14"/>
  <c r="G76" i="14" s="1"/>
  <c r="F271" i="25"/>
  <c r="F279" i="25" s="1"/>
  <c r="G64" i="26"/>
  <c r="G75" i="26" s="1"/>
  <c r="F205" i="25"/>
  <c r="F232" i="25" s="1"/>
  <c r="G205" i="25"/>
  <c r="G232" i="25" s="1"/>
  <c r="I205" i="25"/>
  <c r="I232" i="25" s="1"/>
  <c r="H205" i="25"/>
  <c r="E205" i="25"/>
  <c r="I279" i="25"/>
  <c r="I64" i="26"/>
  <c r="I75" i="26" s="1"/>
  <c r="I77" i="26" s="1"/>
  <c r="E122" i="26"/>
  <c r="J122" i="26" s="1"/>
  <c r="E229" i="25"/>
  <c r="E275" i="25" s="1"/>
  <c r="E71" i="26" s="1"/>
  <c r="I43" i="14"/>
  <c r="I11" i="26"/>
  <c r="F15" i="26"/>
  <c r="AX167" i="10"/>
  <c r="H256" i="25"/>
  <c r="H276" i="25" s="1"/>
  <c r="H72" i="26" s="1"/>
  <c r="Z157" i="25"/>
  <c r="Z159" i="25" s="1"/>
  <c r="AX169" i="25"/>
  <c r="H223" i="25"/>
  <c r="Z153" i="25"/>
  <c r="Z155" i="25" s="1"/>
  <c r="AX166" i="25"/>
  <c r="H229" i="25"/>
  <c r="H275" i="25" s="1"/>
  <c r="Z166" i="25"/>
  <c r="E224" i="25"/>
  <c r="E270" i="25" s="1"/>
  <c r="E66" i="26" s="1"/>
  <c r="J138" i="25"/>
  <c r="C140" i="25"/>
  <c r="C161" i="25" s="1"/>
  <c r="E230" i="25"/>
  <c r="E276" i="25" s="1"/>
  <c r="E72" i="26" s="1"/>
  <c r="Z171" i="25"/>
  <c r="Z173" i="25" s="1"/>
  <c r="E222" i="25"/>
  <c r="E268" i="25" s="1"/>
  <c r="E64" i="26" s="1"/>
  <c r="Z167" i="25"/>
  <c r="E160" i="25"/>
  <c r="AU165" i="25"/>
  <c r="Z165" i="25"/>
  <c r="E223" i="25"/>
  <c r="E269" i="25" s="1"/>
  <c r="E65" i="26" s="1"/>
  <c r="U187" i="25"/>
  <c r="U188" i="25"/>
  <c r="F259" i="25"/>
  <c r="F260" i="25" s="1"/>
  <c r="F274" i="25"/>
  <c r="G22" i="26"/>
  <c r="G280" i="25"/>
  <c r="G281" i="25" s="1"/>
  <c r="G70" i="26"/>
  <c r="G76" i="26" s="1"/>
  <c r="E259" i="25"/>
  <c r="E258" i="25"/>
  <c r="E205" i="10"/>
  <c r="S102" i="26"/>
  <c r="S104" i="26" s="1"/>
  <c r="R102" i="26"/>
  <c r="R104" i="26" s="1"/>
  <c r="Q102" i="26"/>
  <c r="Q101" i="26"/>
  <c r="I276" i="11"/>
  <c r="I64" i="14"/>
  <c r="I75" i="14" s="1"/>
  <c r="G205" i="11"/>
  <c r="G225" i="11" s="1"/>
  <c r="G271" i="11" s="1"/>
  <c r="F205" i="11"/>
  <c r="F225" i="11" s="1"/>
  <c r="F271" i="11" s="1"/>
  <c r="F38" i="14" s="1"/>
  <c r="E205" i="11"/>
  <c r="E225" i="11" s="1"/>
  <c r="E271" i="11" s="1"/>
  <c r="E38" i="14" s="1"/>
  <c r="H181" i="11"/>
  <c r="G202" i="11" s="1"/>
  <c r="G229" i="11" s="1"/>
  <c r="E206" i="11"/>
  <c r="H206" i="11"/>
  <c r="H205" i="10"/>
  <c r="F205" i="10"/>
  <c r="F232" i="10" s="1"/>
  <c r="AX170" i="10"/>
  <c r="F268" i="11"/>
  <c r="F271" i="10"/>
  <c r="F67" i="14" s="1"/>
  <c r="F75" i="14" s="1"/>
  <c r="I205" i="10"/>
  <c r="I232" i="10" s="1"/>
  <c r="G205" i="10"/>
  <c r="G232" i="10" s="1"/>
  <c r="G278" i="13"/>
  <c r="G64" i="14"/>
  <c r="G75" i="14" s="1"/>
  <c r="J120" i="14"/>
  <c r="W166" i="11"/>
  <c r="U166" i="11"/>
  <c r="X166" i="11" s="1"/>
  <c r="E154" i="11" s="1"/>
  <c r="E221" i="11" s="1"/>
  <c r="E267" i="11" s="1"/>
  <c r="E34" i="14" s="1"/>
  <c r="W166" i="13"/>
  <c r="W158" i="13"/>
  <c r="H158" i="13" s="1"/>
  <c r="H228" i="13" s="1"/>
  <c r="C122" i="13"/>
  <c r="W157" i="11"/>
  <c r="H157" i="11" s="1"/>
  <c r="AX169" i="11" s="1"/>
  <c r="G60" i="18"/>
  <c r="G66" i="18" s="1"/>
  <c r="E121" i="14"/>
  <c r="E122" i="14" s="1"/>
  <c r="J296" i="13"/>
  <c r="F301" i="13" s="1"/>
  <c r="G301" i="13" s="1"/>
  <c r="G302" i="13" s="1"/>
  <c r="E254" i="13"/>
  <c r="E257" i="13" s="1"/>
  <c r="E258" i="13" s="1"/>
  <c r="E256" i="10"/>
  <c r="E259" i="10" s="1"/>
  <c r="E260" i="10" s="1"/>
  <c r="F260" i="10"/>
  <c r="E253" i="11"/>
  <c r="E256" i="11" s="1"/>
  <c r="E257" i="11" s="1"/>
  <c r="C25" i="18"/>
  <c r="N25" i="18" s="1"/>
  <c r="F258" i="13"/>
  <c r="F274" i="10"/>
  <c r="F280" i="10" s="1"/>
  <c r="W158" i="11"/>
  <c r="H158" i="11" s="1"/>
  <c r="AY172" i="13"/>
  <c r="AY173" i="13" s="1"/>
  <c r="F272" i="13"/>
  <c r="F17" i="14" s="1"/>
  <c r="F256" i="11"/>
  <c r="F257" i="11" s="1"/>
  <c r="AV172" i="13"/>
  <c r="AV173" i="13" s="1"/>
  <c r="G281" i="10"/>
  <c r="G284" i="10" s="1"/>
  <c r="W154" i="13"/>
  <c r="H154" i="13" s="1"/>
  <c r="J295" i="11"/>
  <c r="F300" i="11" s="1"/>
  <c r="G300" i="11" s="1"/>
  <c r="G301" i="11" s="1"/>
  <c r="H270" i="10"/>
  <c r="H66" i="14" s="1"/>
  <c r="C122" i="11"/>
  <c r="W153" i="13"/>
  <c r="H153" i="13" s="1"/>
  <c r="H227" i="13"/>
  <c r="H273" i="13" s="1"/>
  <c r="H18" i="14" s="1"/>
  <c r="AX169" i="13"/>
  <c r="J256" i="13"/>
  <c r="J255" i="11"/>
  <c r="C32" i="18"/>
  <c r="N32" i="18" s="1"/>
  <c r="H254" i="13"/>
  <c r="H257" i="13" s="1"/>
  <c r="H256" i="10"/>
  <c r="H276" i="10" s="1"/>
  <c r="H72" i="14" s="1"/>
  <c r="H253" i="11"/>
  <c r="H256" i="11" s="1"/>
  <c r="H138" i="11"/>
  <c r="H152" i="11"/>
  <c r="M32" i="18"/>
  <c r="B35" i="18"/>
  <c r="H232" i="10"/>
  <c r="H269" i="10"/>
  <c r="H121" i="14"/>
  <c r="H138" i="13"/>
  <c r="H152" i="13"/>
  <c r="AX168" i="13"/>
  <c r="AX158" i="13"/>
  <c r="H221" i="11"/>
  <c r="H267" i="11" s="1"/>
  <c r="H34" i="14" s="1"/>
  <c r="H275" i="10"/>
  <c r="AX166" i="11"/>
  <c r="H220" i="11"/>
  <c r="J258" i="10"/>
  <c r="N258" i="10" s="1"/>
  <c r="H160" i="10"/>
  <c r="AX172" i="10" s="1"/>
  <c r="AX165" i="10"/>
  <c r="AX168" i="11"/>
  <c r="AX167" i="11"/>
  <c r="E223" i="10"/>
  <c r="E269" i="10" s="1"/>
  <c r="E65" i="14" s="1"/>
  <c r="E224" i="10"/>
  <c r="E270" i="10" s="1"/>
  <c r="E66" i="14" s="1"/>
  <c r="J138" i="10"/>
  <c r="C140" i="10"/>
  <c r="C161" i="10" s="1"/>
  <c r="U170" i="13"/>
  <c r="X170" i="13" s="1"/>
  <c r="E157" i="13" s="1"/>
  <c r="W170" i="13"/>
  <c r="E230" i="10"/>
  <c r="AU168" i="11"/>
  <c r="E138" i="11"/>
  <c r="E152" i="11"/>
  <c r="J130" i="11"/>
  <c r="U165" i="13"/>
  <c r="X165" i="13" s="1"/>
  <c r="E153" i="13" s="1"/>
  <c r="W165" i="13"/>
  <c r="E138" i="13"/>
  <c r="E152" i="13"/>
  <c r="J130" i="13"/>
  <c r="E222" i="10"/>
  <c r="E268" i="10" s="1"/>
  <c r="E160" i="10"/>
  <c r="AU165" i="10"/>
  <c r="W165" i="11"/>
  <c r="U165" i="11"/>
  <c r="X165" i="11" s="1"/>
  <c r="E153" i="11" s="1"/>
  <c r="W171" i="13"/>
  <c r="U171" i="13"/>
  <c r="X171" i="13" s="1"/>
  <c r="E158" i="13" s="1"/>
  <c r="E229" i="10"/>
  <c r="E275" i="10" s="1"/>
  <c r="E71" i="14" s="1"/>
  <c r="W171" i="11"/>
  <c r="U171" i="11"/>
  <c r="X171" i="11" s="1"/>
  <c r="E158" i="11" s="1"/>
  <c r="E226" i="13"/>
  <c r="E272" i="13" s="1"/>
  <c r="E17" i="14" s="1"/>
  <c r="U166" i="13"/>
  <c r="X166" i="13" s="1"/>
  <c r="E154" i="13" s="1"/>
  <c r="W170" i="11"/>
  <c r="U170" i="11"/>
  <c r="X170" i="11" s="1"/>
  <c r="E157" i="11" s="1"/>
  <c r="AU168" i="13"/>
  <c r="E70" i="14"/>
  <c r="G43" i="14"/>
  <c r="G279" i="13" l="1"/>
  <c r="G283" i="13" s="1"/>
  <c r="F36" i="26"/>
  <c r="F89" i="26" s="1"/>
  <c r="H203" i="13"/>
  <c r="H221" i="13"/>
  <c r="H267" i="13" s="1"/>
  <c r="H12" i="14" s="1"/>
  <c r="I277" i="13"/>
  <c r="E203" i="13"/>
  <c r="I32" i="26"/>
  <c r="I43" i="26" s="1"/>
  <c r="F269" i="13"/>
  <c r="F35" i="26" s="1"/>
  <c r="G203" i="13"/>
  <c r="G230" i="13" s="1"/>
  <c r="F203" i="13"/>
  <c r="F230" i="13" s="1"/>
  <c r="G45" i="26"/>
  <c r="F14" i="14"/>
  <c r="F22" i="14" s="1"/>
  <c r="F14" i="26"/>
  <c r="F22" i="26" s="1"/>
  <c r="F35" i="14"/>
  <c r="F43" i="14" s="1"/>
  <c r="G17" i="26"/>
  <c r="G23" i="26" s="1"/>
  <c r="G24" i="26" s="1"/>
  <c r="G38" i="14"/>
  <c r="G44" i="14" s="1"/>
  <c r="G45" i="14" s="1"/>
  <c r="AX174" i="10"/>
  <c r="Q93" i="26"/>
  <c r="G23" i="14"/>
  <c r="G24" i="14" s="1"/>
  <c r="F67" i="26"/>
  <c r="F75" i="26" s="1"/>
  <c r="G77" i="26"/>
  <c r="T102" i="26"/>
  <c r="G85" i="26"/>
  <c r="G96" i="26" s="1"/>
  <c r="F89" i="14"/>
  <c r="I281" i="25"/>
  <c r="I285" i="25" s="1"/>
  <c r="I22" i="26"/>
  <c r="H13" i="26"/>
  <c r="H232" i="25"/>
  <c r="H269" i="25"/>
  <c r="H39" i="26"/>
  <c r="H71" i="26"/>
  <c r="H76" i="26" s="1"/>
  <c r="H280" i="25"/>
  <c r="H259" i="25"/>
  <c r="H260" i="25" s="1"/>
  <c r="AX174" i="25"/>
  <c r="Z168" i="25"/>
  <c r="E279" i="25"/>
  <c r="E232" i="25"/>
  <c r="AU172" i="25"/>
  <c r="AU173" i="25" s="1"/>
  <c r="E75" i="26"/>
  <c r="F23" i="14"/>
  <c r="F17" i="26"/>
  <c r="F280" i="25"/>
  <c r="F281" i="25" s="1"/>
  <c r="F70" i="26"/>
  <c r="F76" i="26" s="1"/>
  <c r="F44" i="14"/>
  <c r="F38" i="26"/>
  <c r="F44" i="26" s="1"/>
  <c r="G285" i="25"/>
  <c r="G284" i="25"/>
  <c r="G277" i="11"/>
  <c r="G278" i="11" s="1"/>
  <c r="G282" i="11" s="1"/>
  <c r="E260" i="25"/>
  <c r="J258" i="25"/>
  <c r="E38" i="26"/>
  <c r="E17" i="26"/>
  <c r="E280" i="25"/>
  <c r="E13" i="26"/>
  <c r="E76" i="26"/>
  <c r="R108" i="26"/>
  <c r="S108" i="26"/>
  <c r="T101" i="26"/>
  <c r="Q104" i="26"/>
  <c r="I202" i="11"/>
  <c r="I229" i="11" s="1"/>
  <c r="E202" i="11"/>
  <c r="H202" i="11"/>
  <c r="F202" i="11"/>
  <c r="F229" i="11" s="1"/>
  <c r="G85" i="14"/>
  <c r="F279" i="10"/>
  <c r="F281" i="10" s="1"/>
  <c r="F284" i="10" s="1"/>
  <c r="F276" i="11"/>
  <c r="E276" i="10"/>
  <c r="E72" i="14" s="1"/>
  <c r="E76" i="14" s="1"/>
  <c r="G77" i="14"/>
  <c r="G67" i="18"/>
  <c r="I67" i="18" s="1"/>
  <c r="H226" i="11"/>
  <c r="H272" i="11" s="1"/>
  <c r="H39" i="14" s="1"/>
  <c r="G68" i="18"/>
  <c r="I68" i="18" s="1"/>
  <c r="AX170" i="13"/>
  <c r="F70" i="14"/>
  <c r="F76" i="14" s="1"/>
  <c r="F77" i="14" s="1"/>
  <c r="H227" i="11"/>
  <c r="H273" i="11" s="1"/>
  <c r="H40" i="14" s="1"/>
  <c r="AX170" i="11"/>
  <c r="AX174" i="11" s="1"/>
  <c r="I85" i="14"/>
  <c r="F278" i="13"/>
  <c r="AX166" i="13"/>
  <c r="AX167" i="13"/>
  <c r="H222" i="13"/>
  <c r="H268" i="13" s="1"/>
  <c r="F277" i="11"/>
  <c r="G285" i="10"/>
  <c r="H257" i="11"/>
  <c r="H258" i="13"/>
  <c r="H266" i="11"/>
  <c r="H33" i="14" s="1"/>
  <c r="M258" i="10"/>
  <c r="H259" i="10"/>
  <c r="H122" i="14"/>
  <c r="H160" i="11"/>
  <c r="AX172" i="11" s="1"/>
  <c r="AX165" i="11"/>
  <c r="H71" i="14"/>
  <c r="H76" i="14" s="1"/>
  <c r="H280" i="10"/>
  <c r="H279" i="10"/>
  <c r="H65" i="14"/>
  <c r="H75" i="14" s="1"/>
  <c r="AX173" i="10"/>
  <c r="H160" i="13"/>
  <c r="AX172" i="13" s="1"/>
  <c r="AX165" i="13"/>
  <c r="H274" i="13"/>
  <c r="H19" i="14" s="1"/>
  <c r="E226" i="11"/>
  <c r="E272" i="11" s="1"/>
  <c r="E39" i="14" s="1"/>
  <c r="E227" i="11"/>
  <c r="E273" i="11" s="1"/>
  <c r="E40" i="14" s="1"/>
  <c r="E221" i="13"/>
  <c r="E267" i="13" s="1"/>
  <c r="E12" i="14" s="1"/>
  <c r="E227" i="13"/>
  <c r="E273" i="13" s="1"/>
  <c r="E18" i="14" s="1"/>
  <c r="E222" i="13"/>
  <c r="E268" i="13" s="1"/>
  <c r="E232" i="10"/>
  <c r="C298" i="10" s="1"/>
  <c r="AU172" i="10"/>
  <c r="AU173" i="10" s="1"/>
  <c r="C140" i="11"/>
  <c r="C161" i="11" s="1"/>
  <c r="J138" i="11"/>
  <c r="E279" i="10"/>
  <c r="E64" i="14"/>
  <c r="E75" i="14" s="1"/>
  <c r="E220" i="13"/>
  <c r="E266" i="13" s="1"/>
  <c r="E11" i="14" s="1"/>
  <c r="E160" i="13"/>
  <c r="AU165" i="13"/>
  <c r="I66" i="18"/>
  <c r="G69" i="18"/>
  <c r="I69" i="18" s="1"/>
  <c r="E228" i="13"/>
  <c r="E274" i="13" s="1"/>
  <c r="E19" i="14" s="1"/>
  <c r="C140" i="13"/>
  <c r="C161" i="13" s="1"/>
  <c r="J138" i="13"/>
  <c r="E160" i="11"/>
  <c r="E219" i="11"/>
  <c r="E265" i="11" s="1"/>
  <c r="E32" i="14" s="1"/>
  <c r="AU165" i="11"/>
  <c r="E220" i="11"/>
  <c r="E266" i="11" s="1"/>
  <c r="E33" i="14" s="1"/>
  <c r="G282" i="13" l="1"/>
  <c r="F43" i="26"/>
  <c r="F277" i="13"/>
  <c r="F279" i="13" s="1"/>
  <c r="F282" i="13" s="1"/>
  <c r="I85" i="26"/>
  <c r="I96" i="26" s="1"/>
  <c r="E34" i="26"/>
  <c r="E87" i="26" s="1"/>
  <c r="T135" i="26" s="1"/>
  <c r="E13" i="14"/>
  <c r="E87" i="14" s="1"/>
  <c r="H34" i="26"/>
  <c r="H87" i="26" s="1"/>
  <c r="H135" i="26" s="1"/>
  <c r="H13" i="14"/>
  <c r="H87" i="14" s="1"/>
  <c r="G91" i="26"/>
  <c r="V139" i="26" s="1"/>
  <c r="F45" i="26"/>
  <c r="J260" i="25"/>
  <c r="G91" i="14"/>
  <c r="V133" i="26"/>
  <c r="F77" i="26"/>
  <c r="F88" i="26"/>
  <c r="O169" i="26" s="1"/>
  <c r="O170" i="14"/>
  <c r="I284" i="25"/>
  <c r="J259" i="25"/>
  <c r="O170" i="26"/>
  <c r="U137" i="26"/>
  <c r="H279" i="25"/>
  <c r="H65" i="26"/>
  <c r="H75" i="26" s="1"/>
  <c r="H77" i="26" s="1"/>
  <c r="H12" i="26"/>
  <c r="H33" i="26"/>
  <c r="H19" i="26"/>
  <c r="H18" i="26"/>
  <c r="J76" i="26"/>
  <c r="C298" i="25"/>
  <c r="D299" i="25" s="1"/>
  <c r="H44" i="14"/>
  <c r="H40" i="26"/>
  <c r="H44" i="26" s="1"/>
  <c r="F285" i="25"/>
  <c r="F284" i="25"/>
  <c r="F23" i="26"/>
  <c r="F24" i="26" s="1"/>
  <c r="F91" i="26"/>
  <c r="E77" i="26"/>
  <c r="G281" i="11"/>
  <c r="E11" i="26"/>
  <c r="E32" i="26"/>
  <c r="J280" i="25"/>
  <c r="E33" i="26"/>
  <c r="E18" i="26"/>
  <c r="E91" i="26"/>
  <c r="E12" i="26"/>
  <c r="E40" i="26"/>
  <c r="E39" i="26"/>
  <c r="E281" i="25"/>
  <c r="E285" i="25" s="1"/>
  <c r="E19" i="26"/>
  <c r="N258" i="25"/>
  <c r="M258" i="25"/>
  <c r="Q108" i="26"/>
  <c r="G96" i="14"/>
  <c r="F45" i="14"/>
  <c r="E280" i="10"/>
  <c r="E281" i="10" s="1"/>
  <c r="F285" i="10"/>
  <c r="I96" i="14"/>
  <c r="H277" i="11"/>
  <c r="H229" i="11"/>
  <c r="H230" i="13"/>
  <c r="F88" i="14"/>
  <c r="F24" i="14"/>
  <c r="I133" i="14"/>
  <c r="F91" i="14"/>
  <c r="AX174" i="13"/>
  <c r="F278" i="11"/>
  <c r="F281" i="11" s="1"/>
  <c r="H278" i="13"/>
  <c r="AX173" i="11"/>
  <c r="AX173" i="13"/>
  <c r="H77" i="14"/>
  <c r="H276" i="11"/>
  <c r="H277" i="13"/>
  <c r="H281" i="10"/>
  <c r="H284" i="10" s="1"/>
  <c r="H260" i="10"/>
  <c r="E278" i="13"/>
  <c r="E91" i="14"/>
  <c r="E229" i="11"/>
  <c r="AU172" i="11"/>
  <c r="AU173" i="11" s="1"/>
  <c r="J75" i="14"/>
  <c r="E77" i="14"/>
  <c r="E277" i="11"/>
  <c r="J279" i="10"/>
  <c r="D299" i="10"/>
  <c r="E230" i="13"/>
  <c r="AU172" i="13"/>
  <c r="AU173" i="13" s="1"/>
  <c r="E276" i="11"/>
  <c r="E277" i="13"/>
  <c r="I133" i="26" l="1"/>
  <c r="X133" i="26"/>
  <c r="H43" i="26"/>
  <c r="H45" i="26" s="1"/>
  <c r="G97" i="26"/>
  <c r="G98" i="26" s="1"/>
  <c r="V143" i="26" s="1"/>
  <c r="S111" i="26" s="1"/>
  <c r="G97" i="14"/>
  <c r="G98" i="14" s="1"/>
  <c r="N299" i="25"/>
  <c r="W135" i="26"/>
  <c r="O168" i="26"/>
  <c r="U171" i="26" s="1"/>
  <c r="U136" i="26"/>
  <c r="F96" i="26"/>
  <c r="N259" i="25"/>
  <c r="N260" i="25" s="1"/>
  <c r="M259" i="25"/>
  <c r="M260" i="25" s="1"/>
  <c r="H93" i="14"/>
  <c r="H23" i="14"/>
  <c r="H92" i="14"/>
  <c r="H23" i="26"/>
  <c r="H92" i="26"/>
  <c r="H281" i="25"/>
  <c r="H285" i="25" s="1"/>
  <c r="J279" i="25"/>
  <c r="J77" i="26"/>
  <c r="H93" i="26"/>
  <c r="H22" i="26"/>
  <c r="H86" i="26"/>
  <c r="J75" i="26"/>
  <c r="E44" i="26"/>
  <c r="E23" i="14"/>
  <c r="E92" i="14"/>
  <c r="E43" i="26"/>
  <c r="F97" i="26"/>
  <c r="U139" i="26"/>
  <c r="E93" i="14"/>
  <c r="E44" i="14"/>
  <c r="E86" i="14"/>
  <c r="E93" i="26"/>
  <c r="T141" i="26" s="1"/>
  <c r="E86" i="26"/>
  <c r="T134" i="26" s="1"/>
  <c r="T139" i="26"/>
  <c r="E139" i="26"/>
  <c r="E43" i="14"/>
  <c r="E92" i="26"/>
  <c r="T140" i="26" s="1"/>
  <c r="E85" i="26"/>
  <c r="E22" i="26"/>
  <c r="E284" i="25"/>
  <c r="E23" i="26"/>
  <c r="N306" i="25"/>
  <c r="C306" i="25"/>
  <c r="I306" i="25" s="1"/>
  <c r="E139" i="14"/>
  <c r="F283" i="13"/>
  <c r="H135" i="14"/>
  <c r="H43" i="14"/>
  <c r="H45" i="14" s="1"/>
  <c r="H278" i="11"/>
  <c r="H281" i="11" s="1"/>
  <c r="O168" i="14"/>
  <c r="O169" i="14"/>
  <c r="F96" i="14"/>
  <c r="F97" i="14"/>
  <c r="F282" i="11"/>
  <c r="H22" i="14"/>
  <c r="H86" i="14"/>
  <c r="H285" i="10"/>
  <c r="H279" i="13"/>
  <c r="H283" i="13" s="1"/>
  <c r="C305" i="10"/>
  <c r="I305" i="10" s="1"/>
  <c r="E279" i="13"/>
  <c r="J277" i="13"/>
  <c r="E285" i="10"/>
  <c r="E22" i="14"/>
  <c r="E85" i="14"/>
  <c r="E284" i="10"/>
  <c r="J276" i="11"/>
  <c r="E278" i="11"/>
  <c r="J43" i="26" l="1"/>
  <c r="S107" i="26"/>
  <c r="S110" i="26" s="1"/>
  <c r="S112" i="26" s="1"/>
  <c r="S113" i="26" s="1"/>
  <c r="H141" i="14"/>
  <c r="T306" i="25"/>
  <c r="F172" i="26"/>
  <c r="F98" i="26"/>
  <c r="R107" i="26" s="1"/>
  <c r="R110" i="26" s="1"/>
  <c r="U172" i="26"/>
  <c r="F171" i="26"/>
  <c r="H97" i="14"/>
  <c r="H140" i="14"/>
  <c r="H24" i="14"/>
  <c r="H141" i="26"/>
  <c r="W141" i="26"/>
  <c r="J281" i="25"/>
  <c r="H134" i="26"/>
  <c r="H96" i="26"/>
  <c r="W134" i="26"/>
  <c r="N305" i="25"/>
  <c r="T305" i="25" s="1"/>
  <c r="C305" i="25"/>
  <c r="I305" i="25" s="1"/>
  <c r="I310" i="25" s="1"/>
  <c r="W140" i="26"/>
  <c r="H140" i="26"/>
  <c r="H97" i="26"/>
  <c r="H284" i="25"/>
  <c r="H24" i="26"/>
  <c r="E45" i="26"/>
  <c r="E97" i="26"/>
  <c r="E45" i="14"/>
  <c r="E97" i="14"/>
  <c r="J22" i="26"/>
  <c r="E24" i="26"/>
  <c r="T133" i="26"/>
  <c r="E96" i="26"/>
  <c r="E133" i="26"/>
  <c r="E133" i="14"/>
  <c r="J43" i="14"/>
  <c r="H282" i="11"/>
  <c r="F172" i="14"/>
  <c r="F98" i="14"/>
  <c r="F171" i="14"/>
  <c r="H282" i="13"/>
  <c r="H134" i="14"/>
  <c r="H96" i="14"/>
  <c r="E283" i="13"/>
  <c r="C307" i="11"/>
  <c r="G307" i="11" s="1"/>
  <c r="E96" i="14"/>
  <c r="E282" i="11"/>
  <c r="E24" i="14"/>
  <c r="J22" i="14"/>
  <c r="E282" i="13"/>
  <c r="E281" i="11"/>
  <c r="C308" i="13"/>
  <c r="G308" i="13" s="1"/>
  <c r="U143" i="26" l="1"/>
  <c r="R111" i="26" s="1"/>
  <c r="R112" i="26" s="1"/>
  <c r="R113" i="26" s="1"/>
  <c r="H98" i="14"/>
  <c r="S122" i="26"/>
  <c r="J284" i="25"/>
  <c r="J285" i="25"/>
  <c r="I309" i="25"/>
  <c r="H98" i="26"/>
  <c r="E98" i="26"/>
  <c r="J96" i="26"/>
  <c r="F22" i="17"/>
  <c r="F21" i="17"/>
  <c r="E98" i="14"/>
  <c r="J96" i="14"/>
  <c r="H143" i="14" l="1"/>
  <c r="R122" i="26"/>
  <c r="F137" i="26" s="1"/>
  <c r="G139" i="26"/>
  <c r="G133" i="26"/>
  <c r="G143" i="26"/>
  <c r="V144" i="26" s="1"/>
  <c r="W143" i="26"/>
  <c r="H143" i="26"/>
  <c r="T143" i="26"/>
  <c r="Q107" i="26"/>
  <c r="Q110" i="26" s="1"/>
  <c r="F14" i="17"/>
  <c r="F14" i="18" s="1"/>
  <c r="G74" i="18" s="1"/>
  <c r="I74" i="18" s="1"/>
  <c r="F139" i="26" l="1"/>
  <c r="F143" i="26"/>
  <c r="U144" i="26" s="1"/>
  <c r="F136" i="26"/>
  <c r="Q111" i="26"/>
  <c r="Q112" i="26" s="1"/>
  <c r="I251" i="11"/>
  <c r="I256" i="11" s="1"/>
  <c r="Q122" i="26" l="1"/>
  <c r="Q113" i="26"/>
  <c r="I252" i="13"/>
  <c r="I254" i="10"/>
  <c r="I274" i="10" s="1"/>
  <c r="I121" i="14"/>
  <c r="I122" i="14" s="1"/>
  <c r="J122" i="14" s="1"/>
  <c r="C34" i="18"/>
  <c r="C35" i="18" s="1"/>
  <c r="C36" i="18" s="1"/>
  <c r="I257" i="11"/>
  <c r="J257" i="11" s="1"/>
  <c r="J256" i="11"/>
  <c r="I271" i="11"/>
  <c r="I38" i="14" s="1"/>
  <c r="I17" i="26" l="1"/>
  <c r="E140" i="26"/>
  <c r="E135" i="26"/>
  <c r="E134" i="26"/>
  <c r="E141" i="26"/>
  <c r="E143" i="26"/>
  <c r="I259" i="10"/>
  <c r="I260" i="10" s="1"/>
  <c r="J260" i="10" s="1"/>
  <c r="N34" i="18"/>
  <c r="N45" i="18" s="1"/>
  <c r="J121" i="14"/>
  <c r="H60" i="18"/>
  <c r="I60" i="18" s="1"/>
  <c r="I257" i="13"/>
  <c r="I272" i="13"/>
  <c r="I17" i="14" s="1"/>
  <c r="C45" i="18"/>
  <c r="I280" i="10"/>
  <c r="I70" i="14"/>
  <c r="I76" i="14" s="1"/>
  <c r="I277" i="11"/>
  <c r="I44" i="14" l="1"/>
  <c r="J44" i="14" s="1"/>
  <c r="I38" i="26"/>
  <c r="I44" i="26" s="1"/>
  <c r="I23" i="26"/>
  <c r="T144" i="26"/>
  <c r="J259" i="10"/>
  <c r="M259" i="10" s="1"/>
  <c r="M260" i="10" s="1"/>
  <c r="H68" i="18"/>
  <c r="H66" i="18"/>
  <c r="H69" i="18" s="1"/>
  <c r="N48" i="18"/>
  <c r="H67" i="18"/>
  <c r="J257" i="13"/>
  <c r="I258" i="13"/>
  <c r="J258" i="13" s="1"/>
  <c r="I278" i="13"/>
  <c r="I23" i="14"/>
  <c r="I24" i="14" s="1"/>
  <c r="J24" i="14" s="1"/>
  <c r="J277" i="11"/>
  <c r="I278" i="11"/>
  <c r="I282" i="11" s="1"/>
  <c r="J76" i="14"/>
  <c r="I77" i="14"/>
  <c r="J77" i="14" s="1"/>
  <c r="J280" i="10"/>
  <c r="I281" i="10"/>
  <c r="I91" i="26" l="1"/>
  <c r="X139" i="26" s="1"/>
  <c r="I45" i="14"/>
  <c r="J45" i="14" s="1"/>
  <c r="I45" i="26"/>
  <c r="J45" i="26" s="1"/>
  <c r="J44" i="26"/>
  <c r="I24" i="26"/>
  <c r="J24" i="26" s="1"/>
  <c r="J23" i="26"/>
  <c r="G133" i="14"/>
  <c r="G139" i="14"/>
  <c r="G143" i="14"/>
  <c r="E134" i="14"/>
  <c r="E135" i="14"/>
  <c r="E140" i="14"/>
  <c r="E141" i="14"/>
  <c r="E143" i="14"/>
  <c r="F137" i="14"/>
  <c r="F139" i="14"/>
  <c r="F136" i="14"/>
  <c r="F143" i="14"/>
  <c r="N259" i="10"/>
  <c r="J23" i="14"/>
  <c r="J278" i="13"/>
  <c r="I279" i="13"/>
  <c r="I91" i="14"/>
  <c r="C308" i="11"/>
  <c r="G308" i="11" s="1"/>
  <c r="I284" i="10"/>
  <c r="J281" i="10"/>
  <c r="J284" i="10" s="1"/>
  <c r="C306" i="10"/>
  <c r="I306" i="10" s="1"/>
  <c r="I285" i="10"/>
  <c r="J278" i="11"/>
  <c r="J282" i="11" s="1"/>
  <c r="I281" i="11"/>
  <c r="I97" i="26" l="1"/>
  <c r="I98" i="26" s="1"/>
  <c r="I139" i="26"/>
  <c r="N260" i="10"/>
  <c r="I310" i="10"/>
  <c r="I309" i="10"/>
  <c r="I139" i="14"/>
  <c r="I97" i="14"/>
  <c r="C309" i="13"/>
  <c r="G309" i="13" s="1"/>
  <c r="I283" i="13"/>
  <c r="J279" i="13"/>
  <c r="I282" i="13"/>
  <c r="J281" i="11"/>
  <c r="C291" i="11"/>
  <c r="J285" i="10"/>
  <c r="J97" i="26" l="1"/>
  <c r="I143" i="26"/>
  <c r="X143" i="26"/>
  <c r="J98" i="26"/>
  <c r="C153" i="26" s="1"/>
  <c r="C292" i="13"/>
  <c r="J282" i="13"/>
  <c r="I98" i="14"/>
  <c r="J97" i="14"/>
  <c r="J283" i="13"/>
  <c r="D154" i="26" l="1"/>
  <c r="D155" i="26"/>
  <c r="X178" i="26" s="1"/>
  <c r="I143" i="14"/>
  <c r="J98" i="14"/>
  <c r="C153" i="14" s="1"/>
  <c r="I178" i="26" l="1"/>
  <c r="U174" i="26"/>
  <c r="W175" i="26"/>
  <c r="V178" i="26"/>
  <c r="T175" i="26"/>
  <c r="E166" i="26"/>
  <c r="G178" i="26"/>
  <c r="H167" i="26"/>
  <c r="V174" i="26"/>
  <c r="F166" i="26"/>
  <c r="H178" i="26"/>
  <c r="W176" i="26"/>
  <c r="T174" i="26"/>
  <c r="H168" i="26"/>
  <c r="H175" i="26"/>
  <c r="W178" i="26"/>
  <c r="X166" i="26"/>
  <c r="T168" i="26"/>
  <c r="E174" i="26"/>
  <c r="T166" i="26"/>
  <c r="F178" i="26"/>
  <c r="T176" i="26"/>
  <c r="I166" i="26"/>
  <c r="H176" i="26"/>
  <c r="V166" i="26"/>
  <c r="T167" i="26"/>
  <c r="G166" i="26"/>
  <c r="T178" i="26"/>
  <c r="U166" i="26"/>
  <c r="W167" i="26"/>
  <c r="W168" i="26"/>
  <c r="U178" i="26"/>
  <c r="F174" i="26"/>
  <c r="G174" i="26"/>
  <c r="E175" i="26"/>
  <c r="E176" i="26"/>
  <c r="E178" i="26"/>
  <c r="E167" i="26"/>
  <c r="E168" i="26"/>
  <c r="I174" i="26"/>
  <c r="X174" i="26"/>
  <c r="D154" i="14"/>
  <c r="D155" i="14"/>
  <c r="F166" i="14" s="1"/>
  <c r="I178" i="14" l="1"/>
  <c r="E178" i="14"/>
  <c r="G174" i="14"/>
  <c r="F178" i="14"/>
  <c r="E168" i="14"/>
  <c r="I166" i="14"/>
  <c r="H175" i="14"/>
  <c r="F174" i="14"/>
  <c r="E167" i="14"/>
  <c r="H176" i="14"/>
  <c r="H168" i="14"/>
  <c r="E176" i="14"/>
  <c r="G178" i="14"/>
  <c r="I174" i="14"/>
  <c r="G166" i="14"/>
  <c r="H178" i="14"/>
  <c r="E166" i="14"/>
  <c r="E174" i="14"/>
  <c r="H167" i="14"/>
  <c r="E175" i="14"/>
  <c r="C24" i="17" l="1"/>
  <c r="E24" i="17" s="1"/>
  <c r="H24" i="17" s="1"/>
  <c r="B25" i="17"/>
  <c r="D25" i="17" s="1"/>
  <c r="G25" i="17" s="1"/>
  <c r="B22" i="17"/>
  <c r="D22" i="17" s="1"/>
  <c r="G22" i="17" s="1"/>
  <c r="B21" i="17"/>
  <c r="D21" i="17" s="1"/>
  <c r="G21" i="17" s="1"/>
  <c r="B27" i="17"/>
  <c r="D27" i="17" s="1"/>
  <c r="G27" i="17" s="1"/>
  <c r="C25" i="17"/>
  <c r="E25" i="17" s="1"/>
  <c r="H25" i="17" s="1"/>
  <c r="C32" i="17"/>
  <c r="E32" i="17" s="1"/>
  <c r="H32" i="17" s="1"/>
  <c r="B24" i="17"/>
  <c r="D24" i="17" s="1"/>
  <c r="G24" i="17" s="1"/>
  <c r="B34" i="17"/>
  <c r="D34" i="17" s="1"/>
  <c r="G34" i="17" s="1"/>
  <c r="B32" i="17"/>
  <c r="D32" i="17" s="1"/>
  <c r="G32" i="17" s="1"/>
  <c r="C31" i="17"/>
  <c r="E31" i="17" s="1"/>
  <c r="H31" i="17" s="1"/>
  <c r="C29" i="17"/>
  <c r="E29" i="17" s="1"/>
  <c r="H29" i="17" s="1"/>
  <c r="B31" i="17"/>
  <c r="D31" i="17" s="1"/>
  <c r="G31" i="17" s="1"/>
  <c r="C27" i="17"/>
  <c r="E27" i="17" s="1"/>
  <c r="H27" i="17" s="1"/>
  <c r="B29" i="17"/>
  <c r="D29" i="17" s="1"/>
  <c r="G29" i="17" s="1"/>
  <c r="C34" i="17"/>
  <c r="E34" i="17" s="1"/>
  <c r="H34" i="17" s="1"/>
  <c r="C20" i="17"/>
  <c r="E20" i="17" s="1"/>
  <c r="H20" i="17" s="1"/>
  <c r="T192" i="26" l="1"/>
  <c r="T200" i="26" s="1"/>
  <c r="T208" i="26" s="1"/>
  <c r="T189" i="26"/>
  <c r="T197" i="26" s="1"/>
  <c r="T205" i="26" s="1"/>
  <c r="U190" i="26"/>
  <c r="U198" i="26" s="1"/>
  <c r="U206" i="26" s="1"/>
  <c r="W191" i="26"/>
  <c r="W199" i="26" s="1"/>
  <c r="W207" i="26" s="1"/>
  <c r="H189" i="26"/>
  <c r="H197" i="26" s="1"/>
  <c r="H205" i="26" s="1"/>
  <c r="X190" i="26"/>
  <c r="X198" i="26" s="1"/>
  <c r="X206" i="26" s="1"/>
  <c r="T191" i="26"/>
  <c r="T199" i="26" s="1"/>
  <c r="T207" i="26" s="1"/>
  <c r="U189" i="26"/>
  <c r="U197" i="26" s="1"/>
  <c r="U205" i="26" s="1"/>
  <c r="H192" i="26"/>
  <c r="H200" i="26" s="1"/>
  <c r="H208" i="26" s="1"/>
  <c r="H188" i="26"/>
  <c r="H196" i="26" s="1"/>
  <c r="H204" i="26" s="1"/>
  <c r="W188" i="26"/>
  <c r="W196" i="26" s="1"/>
  <c r="W204" i="26" s="1"/>
  <c r="H191" i="26"/>
  <c r="H199" i="26" s="1"/>
  <c r="H207" i="26" s="1"/>
  <c r="I187" i="26"/>
  <c r="I195" i="26" s="1"/>
  <c r="I203" i="26" s="1"/>
  <c r="E190" i="26"/>
  <c r="E198" i="26" s="1"/>
  <c r="E206" i="26" s="1"/>
  <c r="W192" i="26"/>
  <c r="W200" i="26" s="1"/>
  <c r="W208" i="26" s="1"/>
  <c r="T190" i="26"/>
  <c r="T198" i="26" s="1"/>
  <c r="T206" i="26" s="1"/>
  <c r="W189" i="26"/>
  <c r="W197" i="26" s="1"/>
  <c r="W205" i="26" s="1"/>
  <c r="T187" i="26"/>
  <c r="T195" i="26" s="1"/>
  <c r="T203" i="26" s="1"/>
  <c r="U188" i="26"/>
  <c r="U196" i="26" s="1"/>
  <c r="U204" i="26" s="1"/>
  <c r="E187" i="26"/>
  <c r="E195" i="26" s="1"/>
  <c r="E203" i="26" s="1"/>
  <c r="V187" i="26"/>
  <c r="V195" i="26" s="1"/>
  <c r="V203" i="26" s="1"/>
  <c r="V190" i="26"/>
  <c r="V198" i="26" s="1"/>
  <c r="V206" i="26" s="1"/>
  <c r="I190" i="26"/>
  <c r="I198" i="26" s="1"/>
  <c r="I206" i="26" s="1"/>
  <c r="X187" i="26"/>
  <c r="X195" i="26" s="1"/>
  <c r="X203" i="26" s="1"/>
  <c r="T188" i="26"/>
  <c r="T196" i="26" s="1"/>
  <c r="T204" i="26" s="1"/>
  <c r="F190" i="26"/>
  <c r="F198" i="26" s="1"/>
  <c r="F206" i="26" s="1"/>
  <c r="F189" i="26"/>
  <c r="F197" i="26" s="1"/>
  <c r="F205" i="26" s="1"/>
  <c r="F188" i="26"/>
  <c r="F196" i="26" s="1"/>
  <c r="F204" i="26" s="1"/>
  <c r="G187" i="26"/>
  <c r="G195" i="26" s="1"/>
  <c r="G203" i="26" s="1"/>
  <c r="G190" i="26"/>
  <c r="G198" i="26" s="1"/>
  <c r="G206" i="26" s="1"/>
  <c r="E192" i="26"/>
  <c r="E200" i="26" s="1"/>
  <c r="E208" i="26" s="1"/>
  <c r="E191" i="26"/>
  <c r="E199" i="26" s="1"/>
  <c r="E207" i="26" s="1"/>
  <c r="E189" i="26"/>
  <c r="E197" i="26" s="1"/>
  <c r="E205" i="26" s="1"/>
  <c r="E188" i="26"/>
  <c r="E196" i="26" s="1"/>
  <c r="E204" i="26" s="1"/>
  <c r="D31" i="18"/>
  <c r="F31" i="18" s="1"/>
  <c r="J31" i="17"/>
  <c r="D24" i="18"/>
  <c r="F24" i="18" s="1"/>
  <c r="J24" i="17"/>
  <c r="E27" i="18"/>
  <c r="G27" i="18" s="1"/>
  <c r="K27" i="17"/>
  <c r="J34" i="17"/>
  <c r="D34" i="18"/>
  <c r="F34" i="18" s="1"/>
  <c r="D21" i="18"/>
  <c r="F21" i="18" s="1"/>
  <c r="J21" i="17"/>
  <c r="E34" i="18"/>
  <c r="G34" i="18" s="1"/>
  <c r="K34" i="17"/>
  <c r="E24" i="18"/>
  <c r="G24" i="18" s="1"/>
  <c r="K24" i="17"/>
  <c r="D32" i="18"/>
  <c r="F32" i="18" s="1"/>
  <c r="J32" i="17"/>
  <c r="K25" i="17"/>
  <c r="E25" i="18"/>
  <c r="G25" i="18" s="1"/>
  <c r="D25" i="18"/>
  <c r="F25" i="18" s="1"/>
  <c r="J25" i="17"/>
  <c r="E31" i="18"/>
  <c r="G31" i="18" s="1"/>
  <c r="K31" i="17"/>
  <c r="E32" i="18"/>
  <c r="G32" i="18" s="1"/>
  <c r="K32" i="17"/>
  <c r="K20" i="17"/>
  <c r="E20" i="18"/>
  <c r="G20" i="18" s="1"/>
  <c r="G45" i="18" s="1"/>
  <c r="G46" i="18" s="1"/>
  <c r="G51" i="18" s="1"/>
  <c r="D29" i="18"/>
  <c r="F29" i="18" s="1"/>
  <c r="J29" i="17"/>
  <c r="K29" i="17"/>
  <c r="E29" i="18"/>
  <c r="G29" i="18" s="1"/>
  <c r="D27" i="18"/>
  <c r="F27" i="18" s="1"/>
  <c r="J27" i="17"/>
  <c r="D22" i="18"/>
  <c r="F22" i="18" s="1"/>
  <c r="J22" i="17"/>
  <c r="Y209" i="26" l="1"/>
  <c r="J209" i="26"/>
  <c r="L22" i="17"/>
  <c r="P22" i="17" s="1"/>
  <c r="H22" i="18"/>
  <c r="J22" i="18" s="1"/>
  <c r="L34" i="17"/>
  <c r="P34" i="17" s="1"/>
  <c r="H34" i="18"/>
  <c r="J34" i="18" s="1"/>
  <c r="I20" i="18"/>
  <c r="K20" i="18" s="1"/>
  <c r="M20" i="17"/>
  <c r="Q20" i="17" s="1"/>
  <c r="I25" i="18"/>
  <c r="K25" i="18" s="1"/>
  <c r="M25" i="17"/>
  <c r="Q25" i="17" s="1"/>
  <c r="H21" i="18"/>
  <c r="J21" i="18" s="1"/>
  <c r="J35" i="18" s="1"/>
  <c r="L21" i="17"/>
  <c r="P21" i="17" s="1"/>
  <c r="I27" i="18"/>
  <c r="K27" i="18" s="1"/>
  <c r="M27" i="17"/>
  <c r="Q27" i="17" s="1"/>
  <c r="L27" i="17"/>
  <c r="P27" i="17" s="1"/>
  <c r="H27" i="18"/>
  <c r="J27" i="18" s="1"/>
  <c r="H29" i="18"/>
  <c r="J29" i="18" s="1"/>
  <c r="L29" i="17"/>
  <c r="P29" i="17" s="1"/>
  <c r="M32" i="17"/>
  <c r="Q32" i="17" s="1"/>
  <c r="I32" i="18"/>
  <c r="K32" i="18" s="1"/>
  <c r="H25" i="18"/>
  <c r="J25" i="18" s="1"/>
  <c r="L25" i="17"/>
  <c r="P25" i="17" s="1"/>
  <c r="H32" i="18"/>
  <c r="J32" i="18" s="1"/>
  <c r="L32" i="17"/>
  <c r="P32" i="17" s="1"/>
  <c r="I34" i="18"/>
  <c r="K34" i="18" s="1"/>
  <c r="M34" i="17"/>
  <c r="Q34" i="17" s="1"/>
  <c r="L31" i="17"/>
  <c r="P31" i="17" s="1"/>
  <c r="H31" i="18"/>
  <c r="J31" i="18" s="1"/>
  <c r="M31" i="17"/>
  <c r="Q31" i="17" s="1"/>
  <c r="I31" i="18"/>
  <c r="K31" i="18" s="1"/>
  <c r="M24" i="17"/>
  <c r="Q24" i="17" s="1"/>
  <c r="I24" i="18"/>
  <c r="K24" i="18" s="1"/>
  <c r="H24" i="18"/>
  <c r="J24" i="18" s="1"/>
  <c r="L24" i="17"/>
  <c r="P24" i="17" s="1"/>
  <c r="I29" i="18"/>
  <c r="K29" i="18" s="1"/>
  <c r="M29" i="17"/>
  <c r="Q29" i="17" s="1"/>
  <c r="O209" i="26" l="1"/>
  <c r="K45" i="18"/>
  <c r="K35" i="18"/>
  <c r="K36" i="18" s="1"/>
  <c r="Q123" i="26" l="1"/>
  <c r="O211" i="26"/>
  <c r="P45" i="18"/>
  <c r="K48" i="18"/>
  <c r="J211" i="26" l="1"/>
</calcChain>
</file>

<file path=xl/comments1.xml><?xml version="1.0" encoding="utf-8"?>
<comments xmlns="http://schemas.openxmlformats.org/spreadsheetml/2006/main">
  <authors>
    <author>Peng, Yongmei</author>
  </authors>
  <commentList>
    <comment ref="C77" authorId="0" shapeId="0">
      <text>
        <r>
          <rPr>
            <b/>
            <sz val="9"/>
            <color indexed="81"/>
            <rFont val="Tahoma"/>
            <family val="2"/>
          </rPr>
          <t>Peng, Yongmei:</t>
        </r>
        <r>
          <rPr>
            <sz val="9"/>
            <color indexed="81"/>
            <rFont val="Tahoma"/>
            <family val="2"/>
          </rPr>
          <t xml:space="preserve">
NERA Jan 2016 update</t>
        </r>
      </text>
    </comment>
  </commentList>
</comments>
</file>

<file path=xl/comments2.xml><?xml version="1.0" encoding="utf-8"?>
<comments xmlns="http://schemas.openxmlformats.org/spreadsheetml/2006/main">
  <authors>
    <author>1502</author>
    <author>Faschan, Richard</author>
    <author>2963</author>
  </authors>
  <commentList>
    <comment ref="R65" authorId="0" shapeId="0">
      <text>
        <r>
          <rPr>
            <b/>
            <sz val="8"/>
            <color indexed="81"/>
            <rFont val="Tahoma"/>
            <family val="2"/>
          </rPr>
          <t>1502:</t>
        </r>
        <r>
          <rPr>
            <sz val="8"/>
            <color indexed="81"/>
            <rFont val="Tahoma"/>
            <family val="2"/>
          </rPr>
          <t xml:space="preserve">
equals  billing month first block adjusted by billing month versus calendar month summer total</t>
        </r>
      </text>
    </comment>
    <comment ref="AA65" authorId="1" shapeId="0">
      <text>
        <r>
          <rPr>
            <b/>
            <sz val="9"/>
            <color indexed="81"/>
            <rFont val="Tahoma"/>
            <family val="2"/>
          </rPr>
          <t>Faschan, Richard:</t>
        </r>
        <r>
          <rPr>
            <sz val="9"/>
            <color indexed="81"/>
            <rFont val="Tahoma"/>
            <family val="2"/>
          </rPr>
          <t xml:space="preserve">
</t>
        </r>
        <r>
          <rPr>
            <sz val="11"/>
            <color indexed="81"/>
            <rFont val="Tahoma"/>
            <family val="2"/>
          </rPr>
          <t>special formula to subtract summer RGT kWh</t>
        </r>
      </text>
    </comment>
    <comment ref="R66" authorId="0" shapeId="0">
      <text>
        <r>
          <rPr>
            <b/>
            <sz val="8"/>
            <color indexed="81"/>
            <rFont val="Tahoma"/>
            <family val="2"/>
          </rPr>
          <t>1502:</t>
        </r>
        <r>
          <rPr>
            <sz val="8"/>
            <color indexed="81"/>
            <rFont val="Tahoma"/>
            <family val="2"/>
          </rPr>
          <t xml:space="preserve">
equals  billing month first block adjusted by billing month versus calendar month summer total</t>
        </r>
      </text>
    </comment>
    <comment ref="AA66" authorId="1" shapeId="0">
      <text>
        <r>
          <rPr>
            <b/>
            <sz val="9"/>
            <color indexed="81"/>
            <rFont val="Tahoma"/>
            <family val="2"/>
          </rPr>
          <t>Faschan, Richard:</t>
        </r>
        <r>
          <rPr>
            <sz val="9"/>
            <color indexed="81"/>
            <rFont val="Tahoma"/>
            <family val="2"/>
          </rPr>
          <t xml:space="preserve">
</t>
        </r>
        <r>
          <rPr>
            <sz val="11"/>
            <color indexed="81"/>
            <rFont val="Tahoma"/>
            <family val="2"/>
          </rPr>
          <t>special formula to subtract summer RGT kWh</t>
        </r>
      </text>
    </comment>
    <comment ref="AA67" authorId="1" shapeId="0">
      <text>
        <r>
          <rPr>
            <b/>
            <sz val="9"/>
            <color indexed="81"/>
            <rFont val="Tahoma"/>
            <family val="2"/>
          </rPr>
          <t>Faschan, Richard:</t>
        </r>
        <r>
          <rPr>
            <sz val="9"/>
            <color indexed="81"/>
            <rFont val="Tahoma"/>
            <family val="2"/>
          </rPr>
          <t xml:space="preserve">
</t>
        </r>
        <r>
          <rPr>
            <sz val="11"/>
            <color indexed="81"/>
            <rFont val="Tahoma"/>
            <family val="2"/>
          </rPr>
          <t>special formula to subtract summer RGT kWh</t>
        </r>
      </text>
    </comment>
    <comment ref="AA68" authorId="1" shapeId="0">
      <text>
        <r>
          <rPr>
            <b/>
            <sz val="9"/>
            <color indexed="81"/>
            <rFont val="Tahoma"/>
            <family val="2"/>
          </rPr>
          <t>Faschan, Richard:</t>
        </r>
        <r>
          <rPr>
            <sz val="9"/>
            <color indexed="81"/>
            <rFont val="Tahoma"/>
            <family val="2"/>
          </rPr>
          <t xml:space="preserve">
</t>
        </r>
        <r>
          <rPr>
            <sz val="11"/>
            <color indexed="81"/>
            <rFont val="Tahoma"/>
            <family val="2"/>
          </rPr>
          <t>special formula to subtract summer RGT kWh</t>
        </r>
      </text>
    </comment>
    <comment ref="D77" authorId="2" shapeId="0">
      <text>
        <r>
          <rPr>
            <b/>
            <sz val="8"/>
            <color indexed="81"/>
            <rFont val="Tahoma"/>
            <family val="2"/>
          </rPr>
          <t xml:space="preserve">NERA
</t>
        </r>
        <r>
          <rPr>
            <sz val="8"/>
            <color indexed="81"/>
            <rFont val="Tahoma"/>
            <family val="2"/>
          </rPr>
          <t>Summer: 201406-201609
Winter:201403-201702</t>
        </r>
      </text>
    </comment>
  </commentList>
</comments>
</file>

<file path=xl/comments3.xml><?xml version="1.0" encoding="utf-8"?>
<comments xmlns="http://schemas.openxmlformats.org/spreadsheetml/2006/main">
  <authors>
    <author>SAP 1502 - Richard R. Faschan</author>
    <author>1502</author>
    <author>Faschan, Richard</author>
    <author>2963</author>
  </authors>
  <commentList>
    <comment ref="X54" authorId="0" shapeId="0">
      <text>
        <r>
          <rPr>
            <b/>
            <sz val="8"/>
            <color indexed="81"/>
            <rFont val="Tahoma"/>
            <family val="2"/>
          </rPr>
          <t>Richard R. Faschan/Denise Sayre</t>
        </r>
        <r>
          <rPr>
            <sz val="10"/>
            <color indexed="81"/>
            <rFont val="Tahoma"/>
            <family val="2"/>
          </rPr>
          <t xml:space="preserve">
Monthly data in colored cells is from BPC 2016 5 Plus 7 as of 2016.06.01
VOL Report Template  JC Annual BGS Price Matrix Filing Data.xltx</t>
        </r>
      </text>
    </comment>
    <comment ref="R65" authorId="1" shapeId="0">
      <text>
        <r>
          <rPr>
            <b/>
            <sz val="8"/>
            <color indexed="81"/>
            <rFont val="Tahoma"/>
            <family val="2"/>
          </rPr>
          <t>1502:</t>
        </r>
        <r>
          <rPr>
            <sz val="8"/>
            <color indexed="81"/>
            <rFont val="Tahoma"/>
            <family val="2"/>
          </rPr>
          <t xml:space="preserve">
equals  billing month first block adjusted by billing month versus calendar month summer total</t>
        </r>
      </text>
    </comment>
    <comment ref="AA65" authorId="2" shapeId="0">
      <text>
        <r>
          <rPr>
            <b/>
            <sz val="9"/>
            <color indexed="81"/>
            <rFont val="Tahoma"/>
            <family val="2"/>
          </rPr>
          <t>Faschan, Richard:</t>
        </r>
        <r>
          <rPr>
            <sz val="9"/>
            <color indexed="81"/>
            <rFont val="Tahoma"/>
            <family val="2"/>
          </rPr>
          <t xml:space="preserve">
</t>
        </r>
        <r>
          <rPr>
            <sz val="11"/>
            <color indexed="81"/>
            <rFont val="Tahoma"/>
            <family val="2"/>
          </rPr>
          <t>special formula to subtract summer RGT kWh</t>
        </r>
      </text>
    </comment>
    <comment ref="R66" authorId="1" shapeId="0">
      <text>
        <r>
          <rPr>
            <b/>
            <sz val="8"/>
            <color indexed="81"/>
            <rFont val="Tahoma"/>
            <family val="2"/>
          </rPr>
          <t>1502:</t>
        </r>
        <r>
          <rPr>
            <sz val="8"/>
            <color indexed="81"/>
            <rFont val="Tahoma"/>
            <family val="2"/>
          </rPr>
          <t xml:space="preserve">
equals  billing month first block adjusted by billing month versus calendar month summer total</t>
        </r>
      </text>
    </comment>
    <comment ref="AA66" authorId="2" shapeId="0">
      <text>
        <r>
          <rPr>
            <b/>
            <sz val="9"/>
            <color indexed="81"/>
            <rFont val="Tahoma"/>
            <family val="2"/>
          </rPr>
          <t>Faschan, Richard:</t>
        </r>
        <r>
          <rPr>
            <sz val="9"/>
            <color indexed="81"/>
            <rFont val="Tahoma"/>
            <family val="2"/>
          </rPr>
          <t xml:space="preserve">
</t>
        </r>
        <r>
          <rPr>
            <sz val="11"/>
            <color indexed="81"/>
            <rFont val="Tahoma"/>
            <family val="2"/>
          </rPr>
          <t>special formula to subtract summer RGT kWh</t>
        </r>
      </text>
    </comment>
    <comment ref="AA67" authorId="2" shapeId="0">
      <text>
        <r>
          <rPr>
            <b/>
            <sz val="9"/>
            <color indexed="81"/>
            <rFont val="Tahoma"/>
            <family val="2"/>
          </rPr>
          <t>Faschan, Richard:</t>
        </r>
        <r>
          <rPr>
            <sz val="9"/>
            <color indexed="81"/>
            <rFont val="Tahoma"/>
            <family val="2"/>
          </rPr>
          <t xml:space="preserve">
</t>
        </r>
        <r>
          <rPr>
            <sz val="11"/>
            <color indexed="81"/>
            <rFont val="Tahoma"/>
            <family val="2"/>
          </rPr>
          <t>special formula to subtract summer RGT kWh</t>
        </r>
      </text>
    </comment>
    <comment ref="AA68" authorId="2" shapeId="0">
      <text>
        <r>
          <rPr>
            <b/>
            <sz val="9"/>
            <color indexed="81"/>
            <rFont val="Tahoma"/>
            <family val="2"/>
          </rPr>
          <t>Faschan, Richard:</t>
        </r>
        <r>
          <rPr>
            <sz val="9"/>
            <color indexed="81"/>
            <rFont val="Tahoma"/>
            <family val="2"/>
          </rPr>
          <t xml:space="preserve">
</t>
        </r>
        <r>
          <rPr>
            <sz val="11"/>
            <color indexed="81"/>
            <rFont val="Tahoma"/>
            <family val="2"/>
          </rPr>
          <t>special formula to subtract summer RGT kWh</t>
        </r>
      </text>
    </comment>
    <comment ref="D77" authorId="3" shapeId="0">
      <text>
        <r>
          <rPr>
            <b/>
            <sz val="8"/>
            <color indexed="81"/>
            <rFont val="Tahoma"/>
            <family val="2"/>
          </rPr>
          <t>2963: From NERA</t>
        </r>
        <r>
          <rPr>
            <sz val="8"/>
            <color indexed="81"/>
            <rFont val="Tahoma"/>
            <family val="2"/>
          </rPr>
          <t xml:space="preserve">
Based on 3 yr June 2008 through April 2011 Data</t>
        </r>
      </text>
    </comment>
    <comment ref="P92" authorId="0" shapeId="0">
      <text>
        <r>
          <rPr>
            <b/>
            <sz val="8"/>
            <color indexed="81"/>
            <rFont val="Tahoma"/>
            <family val="2"/>
          </rPr>
          <t>SAP 1502 - Richard R. Faschan/Denise Sayre</t>
        </r>
        <r>
          <rPr>
            <sz val="10"/>
            <color indexed="81"/>
            <rFont val="Tahoma"/>
            <family val="2"/>
          </rPr>
          <t xml:space="preserve">
Data from BPC 2016 5 Plus 7 as of 2016.06.01
VOL Report Template  JC Annual BGS Price Matrix Filing Data.xltx</t>
        </r>
      </text>
    </comment>
  </commentList>
</comments>
</file>

<file path=xl/comments4.xml><?xml version="1.0" encoding="utf-8"?>
<comments xmlns="http://schemas.openxmlformats.org/spreadsheetml/2006/main">
  <authors>
    <author>2963</author>
  </authors>
  <commentList>
    <comment ref="N19" authorId="0" shapeId="0">
      <text>
        <r>
          <rPr>
            <b/>
            <sz val="9"/>
            <color indexed="81"/>
            <rFont val="Tahoma"/>
            <family val="2"/>
          </rPr>
          <t>From current tariff</t>
        </r>
        <r>
          <rPr>
            <sz val="9"/>
            <color indexed="81"/>
            <rFont val="Tahoma"/>
            <family val="2"/>
          </rPr>
          <t xml:space="preserve">
</t>
        </r>
      </text>
    </comment>
  </commentList>
</comments>
</file>

<file path=xl/sharedStrings.xml><?xml version="1.0" encoding="utf-8"?>
<sst xmlns="http://schemas.openxmlformats.org/spreadsheetml/2006/main" count="2493" uniqueCount="476">
  <si>
    <t>RS</t>
  </si>
  <si>
    <t>January</t>
  </si>
  <si>
    <t>February</t>
  </si>
  <si>
    <t>March</t>
  </si>
  <si>
    <t>April</t>
  </si>
  <si>
    <t>May</t>
  </si>
  <si>
    <t>June</t>
  </si>
  <si>
    <t>July</t>
  </si>
  <si>
    <t>August</t>
  </si>
  <si>
    <t>September</t>
  </si>
  <si>
    <t>October</t>
  </si>
  <si>
    <t>November</t>
  </si>
  <si>
    <t>December</t>
  </si>
  <si>
    <t>Total</t>
  </si>
  <si>
    <t>On-Peak</t>
  </si>
  <si>
    <t>Off-Peak</t>
  </si>
  <si>
    <t>Annual</t>
  </si>
  <si>
    <t>Summer - all hrs</t>
  </si>
  <si>
    <t>Winter - all hrs</t>
  </si>
  <si>
    <t>Forwards Prices - Energy Only @ bulk system</t>
  </si>
  <si>
    <t>Expansion Factor =</t>
  </si>
  <si>
    <t>in $/MWh</t>
  </si>
  <si>
    <t>Losses</t>
  </si>
  <si>
    <t>Loss Factors =</t>
  </si>
  <si>
    <t>Profile Meter Data</t>
  </si>
  <si>
    <t>Summer</t>
  </si>
  <si>
    <t>Winter</t>
  </si>
  <si>
    <t>On-Peak periods defined as the 16 hr PJM Trading period, adj for NERC holidays</t>
  </si>
  <si>
    <t>winter MWh =</t>
  </si>
  <si>
    <t>summer MWh =</t>
  </si>
  <si>
    <t>Table #1</t>
  </si>
  <si>
    <t>Table #2</t>
  </si>
  <si>
    <t>Table #5</t>
  </si>
  <si>
    <t>Table #6</t>
  </si>
  <si>
    <t>Table #7</t>
  </si>
  <si>
    <t>Table #8</t>
  </si>
  <si>
    <t>Table #3</t>
  </si>
  <si>
    <t>Table #4</t>
  </si>
  <si>
    <t>in MWh</t>
  </si>
  <si>
    <t>N/A</t>
  </si>
  <si>
    <t>----</t>
  </si>
  <si>
    <t>PJM on pk</t>
  </si>
  <si>
    <t>PJM off pk</t>
  </si>
  <si>
    <t>in $1000</t>
  </si>
  <si>
    <t>System Total</t>
  </si>
  <si>
    <t>Adjusted to Billing Time Periods</t>
  </si>
  <si>
    <t>On-Peak periods as defined in specified rate schedule</t>
  </si>
  <si>
    <t>% Usage During PJM On-Peak Period</t>
  </si>
  <si>
    <t>Class Usage @ customer</t>
  </si>
  <si>
    <t>Summary of Average BGS Energy Only Costs @ customer - PJM Time Periods</t>
  </si>
  <si>
    <t>Development of Post Transition Period BGS Cost and Bid Factors</t>
  </si>
  <si>
    <t>Summary of Average BGS Energy Only Unit Costs @ customer - PJM Time Periods</t>
  </si>
  <si>
    <t>RT</t>
  </si>
  <si>
    <t>GS</t>
  </si>
  <si>
    <t>GST</t>
  </si>
  <si>
    <t>OL/SL</t>
  </si>
  <si>
    <t>Other Analysis</t>
  </si>
  <si>
    <t>% Usage During JCP&amp;L On-Peak Billing Period</t>
  </si>
  <si>
    <t>Delta between PJM and Tariff based On-Peak kWh</t>
  </si>
  <si>
    <t>WH</t>
  </si>
  <si>
    <t>RGT</t>
  </si>
  <si>
    <t>RT{1}</t>
  </si>
  <si>
    <t>RS{2}</t>
  </si>
  <si>
    <t>WH RS</t>
  </si>
  <si>
    <t>WH GS</t>
  </si>
  <si>
    <t>GS{3}</t>
  </si>
  <si>
    <t xml:space="preserve">{2} For BGS purposes the RS rate class excludes the Off-Peak and Controlled Water Heating provisions and includes  </t>
  </si>
  <si>
    <t xml:space="preserve">     the winter billing month RGT rate class usage</t>
  </si>
  <si>
    <t>{3} For BGS purposes the GS rate class excludes the Off-Peak and Controlled Water Heating provisions</t>
  </si>
  <si>
    <t xml:space="preserve">Jersey Central Power &amp; Light </t>
  </si>
  <si>
    <t>Table #9</t>
  </si>
  <si>
    <t>Summary of Average BGS Energy Only Unit Costs @ customer - JCP&amp;L Time Periods</t>
  </si>
  <si>
    <t>JCP&amp;L On pk</t>
  </si>
  <si>
    <t>JCP&amp;L Off pk</t>
  </si>
  <si>
    <t>Annual Average</t>
  </si>
  <si>
    <t>System Average</t>
  </si>
  <si>
    <t>Table #10</t>
  </si>
  <si>
    <t>in MW</t>
  </si>
  <si>
    <t>Gen Obl - MW</t>
  </si>
  <si>
    <t>Trans Obl - MW</t>
  </si>
  <si>
    <t xml:space="preserve">Not applicable for JCP&amp;L - Transmission rates are based on Retail Tariff rates for the respective rate classes </t>
  </si>
  <si>
    <t># of Months and Days used in this analysis</t>
  </si>
  <si>
    <t># of summer days =</t>
  </si>
  <si>
    <t># of summer months =</t>
  </si>
  <si>
    <t># of winter days =</t>
  </si>
  <si>
    <t># of winter months =</t>
  </si>
  <si>
    <t>total # months =</t>
  </si>
  <si>
    <t>Generation Capacity cost</t>
  </si>
  <si>
    <t>$/MW/day</t>
  </si>
  <si>
    <t>Table #11</t>
  </si>
  <si>
    <t>Ancillary Services</t>
  </si>
  <si>
    <t>forecasted overall annual average</t>
  </si>
  <si>
    <t>$/MWh</t>
  </si>
  <si>
    <t>Table #12</t>
  </si>
  <si>
    <t>Transmission Obl - all months</t>
  </si>
  <si>
    <t>Table #13</t>
  </si>
  <si>
    <t>Summary of BGS Unit Costs @ customer</t>
  </si>
  <si>
    <t>NON-DEMAND RATES</t>
  </si>
  <si>
    <t>Annual -all hrs</t>
  </si>
  <si>
    <t>DEMAND RATES</t>
  </si>
  <si>
    <t>includes energy and Ancillary Services, G&amp;T obligations charged separately - adjusted to billing time periods</t>
  </si>
  <si>
    <t>JCP&amp;L does not have a demand component in its BGS charges</t>
  </si>
  <si>
    <t>ALL RATES</t>
  </si>
  <si>
    <t>Grand Total Cost in $1000 =</t>
  </si>
  <si>
    <t>All-In Average costs @ bulk system =</t>
  </si>
  <si>
    <t>per MWh at bulk system (per bulk system metered MWh)</t>
  </si>
  <si>
    <t>Table #14</t>
  </si>
  <si>
    <t>Annual - all hrs</t>
  </si>
  <si>
    <t>Assumptions:</t>
  </si>
  <si>
    <t>Analysis time period =</t>
  </si>
  <si>
    <t>summer months</t>
  </si>
  <si>
    <t>winter months</t>
  </si>
  <si>
    <t>Ancillary Services =</t>
  </si>
  <si>
    <t>per MWh</t>
  </si>
  <si>
    <t>Energy Costs =</t>
  </si>
  <si>
    <t>Usage patterns =</t>
  </si>
  <si>
    <t>Obligations =</t>
  </si>
  <si>
    <t>Losses =</t>
  </si>
  <si>
    <t>PJM Time Periods =</t>
  </si>
  <si>
    <t xml:space="preserve">     holidays - New Year's, Memorial, 4th of July, Labor Day, Thanksgiving &amp; Christmas</t>
  </si>
  <si>
    <t>JCP&amp;L Billing time periods =</t>
  </si>
  <si>
    <t>GST On-peak hours are 8 am to 8 pm prevailing time, Monday through Friday.</t>
  </si>
  <si>
    <t>MWhs in PJM time periods</t>
  </si>
  <si>
    <t>Difference in MWhs</t>
  </si>
  <si>
    <t>Check on total $ recovered</t>
  </si>
  <si>
    <t>PJM time periods (Table #8)</t>
  </si>
  <si>
    <t>MWhs in JCP&amp;L time periods</t>
  </si>
  <si>
    <t>(PJM - JCP&amp;L)</t>
  </si>
  <si>
    <t>JCP&amp;L time periods</t>
  </si>
  <si>
    <t>Tariff Based kWh</t>
  </si>
  <si>
    <t>PJM based kWh</t>
  </si>
  <si>
    <t>Generation Obl $/MWh - all months</t>
  </si>
  <si>
    <t>Generation Capacity Cost =</t>
  </si>
  <si>
    <t>Table #15</t>
  </si>
  <si>
    <t>Total Costs by Rate - in $1000</t>
  </si>
  <si>
    <t>Total Costs - in $1000</t>
  </si>
  <si>
    <t>% of Annual Total $</t>
  </si>
  <si>
    <t>per MWh @ bulk system</t>
  </si>
  <si>
    <t>Table #16</t>
  </si>
  <si>
    <t>Generation &amp; Transmission Obligations and Costs and Other Adjustments</t>
  </si>
  <si>
    <t>Charges</t>
  </si>
  <si>
    <t>% usage</t>
  </si>
  <si>
    <t>Block 1 (0-600 kWh/m)</t>
  </si>
  <si>
    <t>¢/kWh</t>
  </si>
  <si>
    <t>Block 2 (&gt;600 kWh/m)</t>
  </si>
  <si>
    <t>off-peak=&gt;</t>
  </si>
  <si>
    <t>on-peak=&gt;</t>
  </si>
  <si>
    <t>On-peak kWh=&gt;</t>
  </si>
  <si>
    <t>Winter MWh =&gt;</t>
  </si>
  <si>
    <t>Summer MWh =&gt;</t>
  </si>
  <si>
    <t>Associated $=&gt;</t>
  </si>
  <si>
    <t>First Block (0-600 kWh/month)=&gt;</t>
  </si>
  <si>
    <t>Second Block (&gt;600 kWh/month)=&gt;</t>
  </si>
  <si>
    <t>Residential summer BGS + Transmission charge differential</t>
  </si>
  <si>
    <t>per BPU and summer blocking percentages</t>
  </si>
  <si>
    <t>Differential (Excl. SUT)</t>
  </si>
  <si>
    <t>Constant for Block 1 (0-600 kWh/m) usage (Excl. SUT)</t>
  </si>
  <si>
    <t>Constant for Block 2 (&gt;600 kWh/m) usage (Excl. SUT)</t>
  </si>
  <si>
    <t>Transmission charges will be based on Retail Tariff rates for the applicable rate schedules</t>
  </si>
  <si>
    <t>Transmission cost =</t>
  </si>
  <si>
    <t>per MW day Summer</t>
  </si>
  <si>
    <t>per MW day Winter</t>
  </si>
  <si>
    <t>Summer Total</t>
  </si>
  <si>
    <t>Winter Total</t>
  </si>
  <si>
    <t>Annual Total</t>
  </si>
  <si>
    <t>TOTAL</t>
  </si>
  <si>
    <t xml:space="preserve"> Consistent with Losses as approved by the BPU</t>
  </si>
  <si>
    <t>Summary of Obligation Costs Expressed as $/MWh @ customer</t>
  </si>
  <si>
    <t>Summary of Total Estimated BGS Costs by Season</t>
  </si>
  <si>
    <t>Off/On Pk</t>
  </si>
  <si>
    <t>LMP ratio</t>
  </si>
  <si>
    <t>based on Forwards prices corrected for zone-hub differential and losses - PJM time periods</t>
  </si>
  <si>
    <t>based on Forwards prices corrected for zone-hub differential and losses</t>
  </si>
  <si>
    <t>based on Forwards prices corrected for zone-hub differential and losses - JCP&amp;L billing time periods</t>
  </si>
  <si>
    <t>Based on 3 Year Average</t>
  </si>
  <si>
    <t>Zone-Hub Basis Differential</t>
  </si>
  <si>
    <t>Ratio to All-In Cost (rounded to 4 decimal places)</t>
  </si>
  <si>
    <t>&lt;=on-peak=&gt;</t>
  </si>
  <si>
    <t>&lt;=off-peak=&gt;</t>
  </si>
  <si>
    <t xml:space="preserve">RT Less </t>
  </si>
  <si>
    <t>Water Heating</t>
  </si>
  <si>
    <t>OPWH</t>
  </si>
  <si>
    <t>CTWH RS</t>
  </si>
  <si>
    <t>CTWH RSH</t>
  </si>
  <si>
    <t>CTWH GS</t>
  </si>
  <si>
    <t>CTWH Total</t>
  </si>
  <si>
    <t>WH On</t>
  </si>
  <si>
    <t>Attachment 2</t>
  </si>
  <si>
    <t>The Holidays identified by PJM are not excluded from the RT or GST Billing On-Peak kWh.</t>
  </si>
  <si>
    <t>RT On-peak hours are 8 am to 8 pm Eastern Standard Time, Monday through Friday.</t>
  </si>
  <si>
    <t>(data rounded to nearest .01 %)</t>
  </si>
  <si>
    <t>Average</t>
  </si>
  <si>
    <t>For Calculation</t>
  </si>
  <si>
    <t>On-Peak=&gt;</t>
  </si>
  <si>
    <t>Off-Peak=&gt;</t>
  </si>
  <si>
    <t>Average=&gt;</t>
  </si>
  <si>
    <t>For Proof</t>
  </si>
  <si>
    <t>Proof</t>
  </si>
  <si>
    <t>Generation Obl $/MWh - Summer - All Hours</t>
  </si>
  <si>
    <t>Generation Obl $/MWh - Summer - On-Peak Hours</t>
  </si>
  <si>
    <t>Generation Obl $/MWh - Winter - On-Peak Hours</t>
  </si>
  <si>
    <t>Generation Obl $/MWh - Winter - All Hours</t>
  </si>
  <si>
    <t>{1} For BGS purposes the RT rate class includes the RS and GS rate class Off-Peak (OPWH) and Controlled Water Heating (CTWH) provisions.  The RT rate class also includes the</t>
  </si>
  <si>
    <t>GST {4}</t>
  </si>
  <si>
    <t>CTWH</t>
  </si>
  <si>
    <t>On-Peak PJM</t>
  </si>
  <si>
    <t>Hours Mon=&gt;Fri</t>
  </si>
  <si>
    <t>On-peak</t>
  </si>
  <si>
    <t>Hours</t>
  </si>
  <si>
    <t>%</t>
  </si>
  <si>
    <t>Average Daily</t>
  </si>
  <si>
    <t>WH Off</t>
  </si>
  <si>
    <t>% usage during Off-Peak period</t>
  </si>
  <si>
    <t xml:space="preserve">  summer billing month RGT rate class usage.  OPWH and CTWH is billed on the average RT rates, while RT and Summer RGT use is billed at on-peak and off-peak rates.</t>
  </si>
  <si>
    <t xml:space="preserve"> PJM trading time periods - 7 AM to 11 PM weekdays, local time, excluding NERC </t>
  </si>
  <si>
    <t>1st</t>
  </si>
  <si>
    <t>2nd</t>
  </si>
  <si>
    <t>total</t>
  </si>
  <si>
    <t>Adjusted</t>
  </si>
  <si>
    <t>includes energy, Generation and Transmission obligations, and Ancillary Services - adjusted to billing time periods</t>
  </si>
  <si>
    <t>Seasonal Payment Factors</t>
  </si>
  <si>
    <t>Seasonal</t>
  </si>
  <si>
    <t>Initial</t>
  </si>
  <si>
    <t>Adjustment</t>
  </si>
  <si>
    <t>Factor</t>
  </si>
  <si>
    <t>Calculation</t>
  </si>
  <si>
    <t>Seasonally Adjusted Summer Payment</t>
  </si>
  <si>
    <t>Price per MWH</t>
  </si>
  <si>
    <t>Seasonally Adjusted Winter Payment</t>
  </si>
  <si>
    <t>Units</t>
  </si>
  <si>
    <t>Seasonal Units</t>
  </si>
  <si>
    <t>Payment</t>
  </si>
  <si>
    <t>Customer Costs Per Allocation Matrix</t>
  </si>
  <si>
    <r>
      <t xml:space="preserve">Supplier Payment </t>
    </r>
    <r>
      <rPr>
        <sz val="10"/>
        <rFont val="Arial"/>
        <family val="2"/>
      </rPr>
      <t>in $1000</t>
    </r>
  </si>
  <si>
    <t>Total Supplier Payment</t>
  </si>
  <si>
    <t>Adjustment Factor Calculation</t>
  </si>
  <si>
    <t>Allocated Customer Costs on a per MWh basis (on bulk system MWhs):</t>
  </si>
  <si>
    <t>Supplier</t>
  </si>
  <si>
    <t>BGS Post Transition Composite Cost Allocation</t>
  </si>
  <si>
    <t>in $1,000's</t>
  </si>
  <si>
    <t>Composite (Tranche Weighted) Costs</t>
  </si>
  <si>
    <t>Units @ Customer</t>
  </si>
  <si>
    <t>in kWh</t>
  </si>
  <si>
    <t>Table #17</t>
  </si>
  <si>
    <t>Table #18</t>
  </si>
  <si>
    <t>Table #19</t>
  </si>
  <si>
    <t>Table #16 &amp; Table #17</t>
  </si>
  <si>
    <t>Bulk System Costs</t>
  </si>
  <si>
    <t>Customer &amp; Bulk System Costs</t>
  </si>
  <si>
    <t>includes energy, Generation &amp; Transmission obligations, and Ancillary Services - adjusted to billing time periods</t>
  </si>
  <si>
    <t>includes Energy, Generation &amp; Transmission obligations, and Ancillary Services - adjusted to billing time periods</t>
  </si>
  <si>
    <t xml:space="preserve"> Based on Forwards prices @ PJM West corrected for hub-zone basis differential (both based on the figures used to derive the </t>
  </si>
  <si>
    <t>kWh</t>
  </si>
  <si>
    <r>
      <t>Deli</t>
    </r>
    <r>
      <rPr>
        <b/>
        <sz val="10"/>
        <color indexed="20"/>
        <rFont val="Arial"/>
        <family val="2"/>
      </rPr>
      <t>very</t>
    </r>
    <r>
      <rPr>
        <b/>
        <sz val="10"/>
        <color indexed="17"/>
        <rFont val="Arial"/>
        <family val="2"/>
      </rPr>
      <t xml:space="preserve"> kWh</t>
    </r>
  </si>
  <si>
    <t>RSH</t>
  </si>
  <si>
    <t>Total RS</t>
  </si>
  <si>
    <t xml:space="preserve"> </t>
  </si>
  <si>
    <t>Table #C1</t>
  </si>
  <si>
    <t>Table #C2</t>
  </si>
  <si>
    <t>Table #C3</t>
  </si>
  <si>
    <t>Table #C4</t>
  </si>
  <si>
    <t>Table #C5</t>
  </si>
  <si>
    <t>Table #C6</t>
  </si>
  <si>
    <t>Table #C7</t>
  </si>
  <si>
    <t>WH Average =&gt;</t>
  </si>
  <si>
    <t>WH Average=&gt;</t>
  </si>
  <si>
    <t>JC Tariff Based mWh</t>
  </si>
  <si>
    <t>Expansion Factor to Transmission Nodes =</t>
  </si>
  <si>
    <t>Loss Factors from Transmission Nodes =</t>
  </si>
  <si>
    <t>per MWh at transmission nodes (per transmission nodes metered MWh)</t>
  </si>
  <si>
    <t>per MWh @ transmission nodes</t>
  </si>
  <si>
    <t>All-In Average costs @ transmission nodes =</t>
  </si>
  <si>
    <t>Per PJM Docs#287319-v6, Example on Pg5 of 13</t>
  </si>
  <si>
    <t>TL_derated = TL_bottomup - Loss_marginal</t>
  </si>
  <si>
    <t>so: TL_derated = TL_bottomup - TL_bottomup*f_marg</t>
  </si>
  <si>
    <t xml:space="preserve">                                  while Loss_marginal = f_marg x TL_bottomup</t>
  </si>
  <si>
    <t>or   TL_derated = TL_bottomup x (1 - f_marg)</t>
  </si>
  <si>
    <t>additionally, TL_derated equals Load_metered x Expansion Factor to Transmission node</t>
  </si>
  <si>
    <t xml:space="preserve">                  TL_bottomup equals Load_metered x Expansion Factor to Bulk</t>
  </si>
  <si>
    <t>Stripping out the Load_metered from above formular to get</t>
  </si>
  <si>
    <t>Expansion Factor to Transmission node = Expansion Factor to Bulk * (1 - f_marg) = 1.118 * ( 1 - f_marg)</t>
  </si>
  <si>
    <t>Per pg. 7 of 13 of the same article: f_marg for JC is 0.013516 Mean Zonal marginal Loss Factors w/o EHV Losses for JC based on May 2004 to Jun 2005 PJM SE data</t>
  </si>
  <si>
    <t xml:space="preserve">PJM Marginal Losses = </t>
  </si>
  <si>
    <t>PJM's calculated mean value of hourly marginal loss factor</t>
  </si>
  <si>
    <t>Ratio of BGS Unit Costs @ customer to All-In Average Cost @ transmission nodes (rounded to 3 decimal places)</t>
  </si>
  <si>
    <t xml:space="preserve">Loss = </t>
  </si>
  <si>
    <t>Consistent with Losses as approved by the BPU</t>
  </si>
  <si>
    <t xml:space="preserve">         If total $ were split on a per MWh basis (on transmission nodes MWhs):</t>
  </si>
  <si>
    <t xml:space="preserve">         If total $ were split on a per MWh basis (on bulk nodes MWhs):</t>
  </si>
  <si>
    <t>proof</t>
  </si>
  <si>
    <t>@ Bulk mwh</t>
  </si>
  <si>
    <t>@ Transmission</t>
  </si>
  <si>
    <t>Per NERA/Kush's Email, Marginal Loss De-Ration Factors based on July 07 to March 08 =&gt;</t>
  </si>
  <si>
    <t>(1 - Loss w/o EHV) * (1-0.56%)</t>
  </si>
  <si>
    <t>=</t>
  </si>
  <si>
    <t>(1-2.1541%)</t>
  </si>
  <si>
    <t>So</t>
  </si>
  <si>
    <t>Loss w/o EHV ===&gt;</t>
  </si>
  <si>
    <t>Per Kush's email on 6/24/08, this number INCLUDES PJM EHV 500 kV loss, which is Per Terry, JCPL ZONE EHV Loss is</t>
  </si>
  <si>
    <t>Loss Factors @ Bulk =</t>
  </si>
  <si>
    <t>Expansion Factors @ Bulk =</t>
  </si>
  <si>
    <t>Loss Factors @ Transmission Node =</t>
  </si>
  <si>
    <t>Expansion Factors @ Transmission Node =</t>
  </si>
  <si>
    <t>Per Jush's email on 6/11/2009</t>
  </si>
  <si>
    <t>Proposed Marginal Loss De-Ration Factors based on July 2007 to February 2009 Data ===&gt;</t>
  </si>
  <si>
    <t>RS Excluding</t>
  </si>
  <si>
    <t>RT\RGT\WH</t>
  </si>
  <si>
    <t>Size of Tranches =</t>
  </si>
  <si>
    <t>Total GS (incl WH)</t>
  </si>
  <si>
    <t>Proposed Marginal Loss De-Ration Factors based on July 2007 to February 2010 Data ===&gt;</t>
  </si>
  <si>
    <t>(1-2.1771%)</t>
  </si>
  <si>
    <t>(1-2.0613%)</t>
  </si>
  <si>
    <t>Proposed Marginal Loss De-Ration Factors based on July 2007 to January 2011 Data ===&gt;</t>
  </si>
  <si>
    <t>(1-1.9770%)</t>
  </si>
  <si>
    <t>Proposed Marginal Loss De-Ration Factors based on May 2009 to April 2012 Data ===&gt;</t>
  </si>
  <si>
    <r>
      <t xml:space="preserve">{4} The GS and GST units exclude the units associated with the </t>
    </r>
    <r>
      <rPr>
        <sz val="10"/>
        <color indexed="12"/>
        <rFont val="Arial"/>
        <family val="2"/>
      </rPr>
      <t xml:space="preserve">500 </t>
    </r>
    <r>
      <rPr>
        <sz val="10"/>
        <rFont val="Arial"/>
        <family val="2"/>
      </rPr>
      <t>kW and above PLS accounts that will be required to take service under BGS-CIEP</t>
    </r>
  </si>
  <si>
    <t>(1-1.7454%)</t>
  </si>
  <si>
    <t>WH OnPeak MWH</t>
  </si>
  <si>
    <t>WH OffPeak MWH</t>
  </si>
  <si>
    <t>Total MWH</t>
  </si>
  <si>
    <t>GS Billed</t>
  </si>
  <si>
    <t>GST Billed</t>
  </si>
  <si>
    <t>(1-1.6509%)</t>
  </si>
  <si>
    <t>Proposed Marginal Loss De-Ration Factors based on May 2010 to April 2013 Data ===&gt;</t>
  </si>
  <si>
    <t>Post Transition Year 13 Costs</t>
  </si>
  <si>
    <t>Jersey Central Power and Light</t>
  </si>
  <si>
    <t>{1} Prices Exclude Sales and Use Tax (SUT)</t>
  </si>
  <si>
    <t>Derivation of BGS-FP Energy Charges per kWh</t>
  </si>
  <si>
    <t xml:space="preserve">Final Weighted Average BGS-FP Wholesale Price </t>
  </si>
  <si>
    <t>{1}</t>
  </si>
  <si>
    <t>Rate Class &amp; Usage Type</t>
  </si>
  <si>
    <t>Ratio of Retail BGS Price to Wholesale BGS Price</t>
  </si>
  <si>
    <t>Resulting Retail BGS Price Prior to Usage Block Adjustment {1}</t>
  </si>
  <si>
    <t>Usage Block Adjustment</t>
  </si>
  <si>
    <t>Resulting Retail BGS Price After Usage Block Adjustment {1}</t>
  </si>
  <si>
    <t>Tariff Transmission Rate {2}</t>
  </si>
  <si>
    <t>Retail
BGS Energy Charge per kWh
Excluding SUT</t>
  </si>
  <si>
    <r>
      <t xml:space="preserve">Retail
BGS Energy Charge per kWh
Including </t>
    </r>
    <r>
      <rPr>
        <b/>
        <sz val="10"/>
        <color indexed="12"/>
        <rFont val="Arial"/>
        <family val="2"/>
      </rPr>
      <t>7%</t>
    </r>
    <r>
      <rPr>
        <sz val="10"/>
        <rFont val="Arial"/>
        <family val="2"/>
      </rPr>
      <t xml:space="preserve"> SUT</t>
    </r>
  </si>
  <si>
    <t>Delta</t>
  </si>
  <si>
    <t xml:space="preserve">Current BGS Energy Only w/o RMR, TEC, include SUT </t>
  </si>
  <si>
    <t>RS - All</t>
  </si>
  <si>
    <t>RS - 1 to 600</t>
  </si>
  <si>
    <t>RS Over 600</t>
  </si>
  <si>
    <t>RT - On-peak</t>
  </si>
  <si>
    <t>RT - Off-peak</t>
  </si>
  <si>
    <t>CTWH &amp; OPWH</t>
  </si>
  <si>
    <t>GST On-Peak</t>
  </si>
  <si>
    <t>GST Off-Peak</t>
  </si>
  <si>
    <t>{1} Prices Exclude Sales and Use Tax (SUT) and BGS-FP Reconciliation Charges</t>
  </si>
  <si>
    <t>{2} Applicable to summer and winter rates (Excludes SUT). Does not include RMR nor TEC, since RMR and TEC were not included in the bidding price determination (Price Matrix).</t>
  </si>
  <si>
    <t xml:space="preserve">Notes: </t>
  </si>
  <si>
    <t>Rate class RS includes RGT winter usage</t>
  </si>
  <si>
    <t>CTWH &amp; OPWH includes separately metered controlled water heating and off-peak water heating use for RS and GS accounts</t>
  </si>
  <si>
    <t>Rate class RT includes RGT summer usage</t>
  </si>
  <si>
    <t xml:space="preserve">Rate Class OL/SL equals Rate classes OL, ISL, MVL and SVL </t>
  </si>
  <si>
    <t>Overall Average Prices</t>
  </si>
  <si>
    <t>kWh used to derive
BGS-FP prices {Table #C5}</t>
  </si>
  <si>
    <t>Energy &amp; Capacity Portion of Retail BGS Price {1}</t>
  </si>
  <si>
    <t>Annual Energy &amp; Capacity Revenue</t>
  </si>
  <si>
    <r>
      <t xml:space="preserve">Tariff Transmission + </t>
    </r>
    <r>
      <rPr>
        <sz val="10"/>
        <color indexed="10"/>
        <rFont val="Arial"/>
        <family val="2"/>
      </rPr>
      <t>RMR + TEC</t>
    </r>
    <r>
      <rPr>
        <sz val="10"/>
        <rFont val="Arial"/>
        <family val="2"/>
      </rPr>
      <t xml:space="preserve"> Rate {2}</t>
    </r>
  </si>
  <si>
    <r>
      <t xml:space="preserve">Annual Transmission + </t>
    </r>
    <r>
      <rPr>
        <sz val="10"/>
        <color indexed="10"/>
        <rFont val="Arial"/>
        <family val="2"/>
      </rPr>
      <t>RMR</t>
    </r>
    <r>
      <rPr>
        <sz val="10"/>
        <rFont val="Arial"/>
        <family val="2"/>
      </rPr>
      <t xml:space="preserve"> +</t>
    </r>
    <r>
      <rPr>
        <sz val="10"/>
        <color indexed="10"/>
        <rFont val="Arial"/>
        <family val="2"/>
      </rPr>
      <t xml:space="preserve"> TEC</t>
    </r>
    <r>
      <rPr>
        <sz val="10"/>
        <rFont val="Arial"/>
        <family val="2"/>
      </rPr>
      <t xml:space="preserve"> Revenue</t>
    </r>
  </si>
  <si>
    <t>&lt;== TEC+RMR Revenue</t>
  </si>
  <si>
    <t>Overall Average Retail BGS Price {1} =&gt;</t>
  </si>
  <si>
    <t>Overall Avg Retail Energy &amp; Capacity {1} =&gt;</t>
  </si>
  <si>
    <t>Overall Avg Retail Transmission {1} =&gt;</t>
  </si>
  <si>
    <r>
      <t xml:space="preserve">{2} Applicable to summer and winter rates (Prices Exclude SUT), Effective </t>
    </r>
    <r>
      <rPr>
        <sz val="10"/>
        <color indexed="12"/>
        <rFont val="Arial"/>
        <family val="2"/>
      </rPr>
      <t>February 1, 2014</t>
    </r>
  </si>
  <si>
    <t>{3} 95% GS and 86% of GST are commercial per forecast 2007 kWh from Rich</t>
  </si>
  <si>
    <t>Rate class RT includes RGT summer usage and all separately metered electric water heating usage</t>
  </si>
  <si>
    <t xml:space="preserve">Rate Class OL/SL equals Rate classes OL, ISL, MVL and SVL. </t>
  </si>
  <si>
    <t>The below is not updated</t>
  </si>
  <si>
    <t>Wholesale Purchases</t>
  </si>
  <si>
    <t xml:space="preserve">Summer </t>
  </si>
  <si>
    <t>kWh =&gt;</t>
  </si>
  <si>
    <t>Seasonal Bid Price Adjustment Factor - remaining term of 34 month bid =&gt;</t>
  </si>
  <si>
    <t>Seasonal Bid Price Adjustment Factor - 12 month bids =&gt;</t>
  </si>
  <si>
    <t>Seasonal Bid Price Adjustment Factor - 36 month bids =&gt;</t>
  </si>
  <si>
    <t>BGS Supplier Payments - remaining term of 34 month bid =&gt;</t>
  </si>
  <si>
    <t>BGS Supplier Payments - 12 month bids =&gt;</t>
  </si>
  <si>
    <t>BGS Supplier Payments - 36 month bids =&gt;</t>
  </si>
  <si>
    <t>Total Supplier Payments =&gt;</t>
  </si>
  <si>
    <t>Composite</t>
  </si>
  <si>
    <t xml:space="preserve">BGS Wholesale </t>
  </si>
  <si>
    <t>Retail Loss</t>
  </si>
  <si>
    <t>Price</t>
  </si>
  <si>
    <t>Annual BGS Revenue (Includes Transmission)</t>
  </si>
  <si>
    <t>Retail BGS Price {1} (Includes Transmission)</t>
  </si>
  <si>
    <t>Proposed Marginal Loss De-Ration Factors based on May 2011 to April 2014 Data ===&gt;</t>
  </si>
  <si>
    <t>(1-1.5909%)</t>
  </si>
  <si>
    <t>Post Transition Year 14 Costs</t>
  </si>
  <si>
    <t>YP</t>
  </si>
  <si>
    <t>2016/2017 BGS Supply Period Estimated Supplier Payments Allocated by Rate Class</t>
  </si>
  <si>
    <t>UPDATE</t>
  </si>
  <si>
    <r>
      <t xml:space="preserve">Proposed Marginal Loss De-Ration Factors based on </t>
    </r>
    <r>
      <rPr>
        <sz val="10"/>
        <color rgb="FF0000FF"/>
        <rFont val="Arial"/>
        <family val="2"/>
      </rPr>
      <t>May 2012 to April 201</t>
    </r>
    <r>
      <rPr>
        <sz val="10"/>
        <rFont val="Arial"/>
        <family val="2"/>
      </rPr>
      <t>5 Data ===&gt;</t>
    </r>
  </si>
  <si>
    <t>Incremental PJM RPM Cost</t>
  </si>
  <si>
    <t xml:space="preserve">Annual Incremental PJM RPM Cost </t>
  </si>
  <si>
    <t>Retail BGS Price</t>
  </si>
  <si>
    <t>Retail BGS Price less Transmission</t>
  </si>
  <si>
    <t>Retail BGS E&amp;C Revenue</t>
  </si>
  <si>
    <t>Retail BGS Price (E&amp;C plus Transmission)</t>
  </si>
  <si>
    <t>Retail BGS E&amp;C tariff (BGS Price less Transmission)</t>
  </si>
  <si>
    <t>Obli cost as % of total Energy &amp; Obli costs</t>
  </si>
  <si>
    <t>Adjusted-total obli costs by 50% of shopping</t>
  </si>
  <si>
    <t>Adjusted Units to balance (50% shopping)</t>
  </si>
  <si>
    <t>New Cost ($/mWh)</t>
  </si>
  <si>
    <t>Non Shopping Adj Cost ($/mWh)</t>
  </si>
  <si>
    <t>Unit Cost Adjustment</t>
  </si>
  <si>
    <t xml:space="preserve">Summary of BGS Unit Costs @ customer </t>
  </si>
  <si>
    <t>No Shopping Adjustment</t>
  </si>
  <si>
    <t>&lt;== quick input of incremental PJM RPM Cost</t>
  </si>
  <si>
    <t>Target -8M</t>
  </si>
  <si>
    <t>Change of kWh</t>
  </si>
  <si>
    <t xml:space="preserve">Change of kW </t>
  </si>
  <si>
    <t xml:space="preserve">  </t>
  </si>
  <si>
    <t>BGS-RSCP</t>
  </si>
  <si>
    <t>BGS-RSCP Composite Cost Allocation</t>
  </si>
  <si>
    <t>(1-1.4002%)</t>
  </si>
  <si>
    <t>Set to 1 for no Shopping =&gt;</t>
  </si>
  <si>
    <t>% or Unit Cost Reduction</t>
  </si>
  <si>
    <t/>
  </si>
  <si>
    <t>Fixed Unit Cost Adjustment when Imcremental RPM=0</t>
  </si>
  <si>
    <t>Migration Reduction in BGS Revenue</t>
  </si>
  <si>
    <t>= Q114-S114 when RPM=0</t>
  </si>
  <si>
    <t>Proof = Shopping Adjustment</t>
  </si>
  <si>
    <t>Shopping</t>
  </si>
  <si>
    <t>Ratio to All-In Cost (If Winter is greater than Summer)</t>
  </si>
  <si>
    <t>(1) Payments to suppliers that executed the Supplements to the SMA approved by BPU on November 24, 2014 will be adjusted for the price difference between the Final PJM RPM Net Zonal Price and the First Incremental PJM RPM Net Zonal Price for 2016/2017 Delivery Year.</t>
  </si>
  <si>
    <t>2017/2018 BGS Supply Period Estimated Supplier Payments Allocated by Rate Class</t>
  </si>
  <si>
    <t>Post Transition Year 14 Bid price</t>
  </si>
  <si>
    <r>
      <t xml:space="preserve"> Bid Factors and establish retail rates in Post Transition Year </t>
    </r>
    <r>
      <rPr>
        <sz val="10"/>
        <color indexed="12"/>
        <rFont val="Arial"/>
        <family val="2"/>
      </rPr>
      <t xml:space="preserve">14 </t>
    </r>
    <r>
      <rPr>
        <sz val="10"/>
        <rFont val="Arial"/>
        <family val="2"/>
      </rPr>
      <t>and adjusted to match the total cost at the actual supplier bid price.</t>
    </r>
  </si>
  <si>
    <t>Post Transition Year 15 Costs</t>
  </si>
  <si>
    <r>
      <t>calendar month sales forecasted for</t>
    </r>
    <r>
      <rPr>
        <b/>
        <i/>
        <sz val="10"/>
        <rFont val="Arial"/>
        <family val="2"/>
      </rPr>
      <t xml:space="preserve"> </t>
    </r>
    <r>
      <rPr>
        <b/>
        <i/>
        <sz val="10"/>
        <color indexed="12"/>
        <rFont val="Arial"/>
        <family val="2"/>
      </rPr>
      <t>2016</t>
    </r>
  </si>
  <si>
    <r>
      <t xml:space="preserve">obligations - annual average forecasted for </t>
    </r>
    <r>
      <rPr>
        <i/>
        <sz val="10"/>
        <color indexed="12"/>
        <rFont val="Arial"/>
        <family val="2"/>
      </rPr>
      <t>2016</t>
    </r>
    <r>
      <rPr>
        <i/>
        <sz val="10"/>
        <rFont val="Arial"/>
        <family val="2"/>
      </rPr>
      <t>; costs are market estimates</t>
    </r>
  </si>
  <si>
    <r>
      <t xml:space="preserve"> based on </t>
    </r>
    <r>
      <rPr>
        <sz val="10"/>
        <color indexed="12"/>
        <rFont val="Arial"/>
        <family val="2"/>
      </rPr>
      <t xml:space="preserve">6/17 to 5/18 </t>
    </r>
    <r>
      <rPr>
        <sz val="10"/>
        <rFont val="Arial"/>
        <family val="2"/>
      </rPr>
      <t>Forwards @ PJM West corrected for hub-zone basis differential</t>
    </r>
  </si>
  <si>
    <r>
      <t xml:space="preserve">   JCP&amp;L billing on/off % from </t>
    </r>
    <r>
      <rPr>
        <sz val="10"/>
        <color indexed="12"/>
        <rFont val="Arial"/>
        <family val="2"/>
      </rPr>
      <t>2016</t>
    </r>
    <r>
      <rPr>
        <sz val="10"/>
        <rFont val="Arial"/>
        <family val="2"/>
      </rPr>
      <t xml:space="preserve"> forecasted billing determinants</t>
    </r>
  </si>
  <si>
    <r>
      <t xml:space="preserve"> class totals for </t>
    </r>
    <r>
      <rPr>
        <sz val="10"/>
        <color indexed="12"/>
        <rFont val="Arial"/>
        <family val="2"/>
      </rPr>
      <t>2016</t>
    </r>
    <r>
      <rPr>
        <sz val="10"/>
        <rFont val="Arial"/>
        <family val="2"/>
      </rPr>
      <t xml:space="preserve"> excluding accounts required to take service under BGS-CIEP as of </t>
    </r>
    <r>
      <rPr>
        <sz val="10"/>
        <color indexed="12"/>
        <rFont val="Arial"/>
        <family val="2"/>
      </rPr>
      <t>June 1, 2017</t>
    </r>
  </si>
  <si>
    <r>
      <t xml:space="preserve">2016 </t>
    </r>
    <r>
      <rPr>
        <i/>
        <sz val="10"/>
        <rFont val="Arial"/>
        <family val="2"/>
      </rPr>
      <t>Forecasted Calendar Month Sales</t>
    </r>
  </si>
  <si>
    <r>
      <t xml:space="preserve">Based on an average of </t>
    </r>
    <r>
      <rPr>
        <i/>
        <sz val="10"/>
        <color indexed="12"/>
        <rFont val="Arial"/>
        <family val="2"/>
      </rPr>
      <t>2013</t>
    </r>
    <r>
      <rPr>
        <i/>
        <sz val="10"/>
        <rFont val="Arial"/>
        <family val="2"/>
      </rPr>
      <t xml:space="preserve"> through </t>
    </r>
    <r>
      <rPr>
        <i/>
        <sz val="10"/>
        <color indexed="12"/>
        <rFont val="Arial"/>
        <family val="2"/>
      </rPr>
      <t>2015</t>
    </r>
    <r>
      <rPr>
        <i/>
        <sz val="10"/>
        <rFont val="Arial"/>
        <family val="2"/>
      </rPr>
      <t xml:space="preserve"> Load Profile Information</t>
    </r>
  </si>
  <si>
    <t>2017 BGS Auction Cost and Bid Factor Tables</t>
  </si>
  <si>
    <t>Forecast 2016 Delivery MWh</t>
  </si>
  <si>
    <t>2016 June PLS Verification 500 Threshold</t>
  </si>
  <si>
    <t>CIEP Eligible 6/1/2017-5/31/2018</t>
  </si>
  <si>
    <t>2015 kWh</t>
  </si>
  <si>
    <r>
      <t xml:space="preserve">Proposed Marginal Loss De-Ration Factors based on </t>
    </r>
    <r>
      <rPr>
        <sz val="10"/>
        <color rgb="FF0000FF"/>
        <rFont val="Arial"/>
        <family val="2"/>
      </rPr>
      <t>May 2013 to April 201</t>
    </r>
    <r>
      <rPr>
        <sz val="10"/>
        <rFont val="Arial"/>
        <family val="2"/>
      </rPr>
      <t>6 Data ===&gt;</t>
    </r>
  </si>
  <si>
    <t>Renewable Power Cost</t>
  </si>
  <si>
    <t>Total Forecasted Ancillary Services &amp; Renewable Power Costs</t>
  </si>
  <si>
    <t>Forecasted Ancillary Services Cost</t>
  </si>
  <si>
    <t>Not Applicable to 2017/2018 BGS Supply Period</t>
  </si>
  <si>
    <r>
      <t xml:space="preserve"> forecasted </t>
    </r>
    <r>
      <rPr>
        <sz val="10"/>
        <color indexed="12"/>
        <rFont val="Arial"/>
        <family val="2"/>
      </rPr>
      <t>2016</t>
    </r>
    <r>
      <rPr>
        <sz val="10"/>
        <rFont val="Arial"/>
        <family val="2"/>
      </rPr>
      <t xml:space="preserve"> energy use by class based upon PJM on/off % from </t>
    </r>
    <r>
      <rPr>
        <sz val="10"/>
        <color indexed="12"/>
        <rFont val="Arial"/>
        <family val="2"/>
      </rPr>
      <t>2013 through 2015</t>
    </r>
    <r>
      <rPr>
        <sz val="10"/>
        <rFont val="Arial"/>
        <family val="2"/>
      </rPr>
      <t xml:space="preserve"> class load profiles</t>
    </r>
  </si>
  <si>
    <r>
      <t xml:space="preserve">Forecasted </t>
    </r>
    <r>
      <rPr>
        <i/>
        <sz val="10"/>
        <color indexed="12"/>
        <rFont val="Arial"/>
        <family val="2"/>
      </rPr>
      <t xml:space="preserve">2016 </t>
    </r>
    <r>
      <rPr>
        <i/>
        <sz val="10"/>
        <rFont val="Arial"/>
        <family val="2"/>
      </rPr>
      <t>in kWh</t>
    </r>
  </si>
  <si>
    <r>
      <rPr>
        <sz val="10"/>
        <color rgb="FF0000FF"/>
        <rFont val="Arial"/>
        <family val="2"/>
      </rPr>
      <t>2016</t>
    </r>
    <r>
      <rPr>
        <sz val="10"/>
        <rFont val="Arial"/>
        <family val="2"/>
      </rPr>
      <t xml:space="preserve"> Forecast @</t>
    </r>
    <r>
      <rPr>
        <sz val="10"/>
        <color rgb="FF0000FF"/>
        <rFont val="Arial"/>
        <family val="2"/>
      </rPr>
      <t xml:space="preserve"> 6/1/2016</t>
    </r>
  </si>
  <si>
    <r>
      <rPr>
        <sz val="10"/>
        <color rgb="FF0000FF"/>
        <rFont val="Arial"/>
        <family val="2"/>
      </rPr>
      <t>PTY15</t>
    </r>
    <r>
      <rPr>
        <sz val="10"/>
        <rFont val="Arial"/>
        <family val="2"/>
      </rPr>
      <t xml:space="preserve"> Energy Only ($000)</t>
    </r>
  </si>
  <si>
    <r>
      <rPr>
        <sz val="10"/>
        <color rgb="FF0000FF"/>
        <rFont val="Arial"/>
        <family val="2"/>
      </rPr>
      <t>PTY15</t>
    </r>
    <r>
      <rPr>
        <sz val="10"/>
        <rFont val="Arial"/>
        <family val="2"/>
      </rPr>
      <t xml:space="preserve"> Obli Only ($000)</t>
    </r>
  </si>
  <si>
    <t>&lt;== As of 5/31/2016</t>
  </si>
  <si>
    <t>Ancillary Services and Renewable Power Cost =</t>
  </si>
  <si>
    <t>Fixed Unit Cost Adjustment</t>
  </si>
  <si>
    <t>Renewable Portfolio Standard Cost</t>
  </si>
  <si>
    <t>NJ Sales and Use Tax (SUT) =</t>
  </si>
  <si>
    <t>SUT excluded from all costs</t>
  </si>
  <si>
    <r>
      <t>calendar month sales forecasted for</t>
    </r>
    <r>
      <rPr>
        <b/>
        <i/>
        <sz val="10"/>
        <rFont val="Arial"/>
        <family val="2"/>
      </rPr>
      <t xml:space="preserve"> </t>
    </r>
    <r>
      <rPr>
        <b/>
        <i/>
        <sz val="10"/>
        <color indexed="12"/>
        <rFont val="Arial"/>
        <family val="2"/>
      </rPr>
      <t>2017</t>
    </r>
  </si>
  <si>
    <t>Forecast 2017 Delivery MWh</t>
  </si>
  <si>
    <r>
      <t xml:space="preserve">obligations - annual average forecasted for </t>
    </r>
    <r>
      <rPr>
        <i/>
        <sz val="10"/>
        <color indexed="12"/>
        <rFont val="Arial"/>
        <family val="2"/>
      </rPr>
      <t>2017</t>
    </r>
    <r>
      <rPr>
        <i/>
        <sz val="10"/>
        <rFont val="Arial"/>
        <family val="2"/>
      </rPr>
      <t>; costs are market estimates</t>
    </r>
  </si>
  <si>
    <t>= Q112-S112</t>
  </si>
  <si>
    <r>
      <t xml:space="preserve">Forecasted </t>
    </r>
    <r>
      <rPr>
        <i/>
        <sz val="10"/>
        <color indexed="12"/>
        <rFont val="Arial"/>
        <family val="2"/>
      </rPr>
      <t xml:space="preserve">2017 </t>
    </r>
    <r>
      <rPr>
        <i/>
        <sz val="10"/>
        <rFont val="Arial"/>
        <family val="2"/>
      </rPr>
      <t>in kWh</t>
    </r>
  </si>
  <si>
    <t>2018 BGS Auction Cost and Bid Factor Tables</t>
  </si>
  <si>
    <t>2018/2019 BGS Supply Period Estimated Supplier Payments Allocated by Rate Class</t>
  </si>
  <si>
    <r>
      <t xml:space="preserve">2017 </t>
    </r>
    <r>
      <rPr>
        <i/>
        <sz val="10"/>
        <rFont val="Arial"/>
        <family val="2"/>
      </rPr>
      <t>Forecasted Calendar Month Sales</t>
    </r>
  </si>
  <si>
    <t>RT (w/o RGT)</t>
  </si>
  <si>
    <r>
      <t xml:space="preserve">Based on an average of </t>
    </r>
    <r>
      <rPr>
        <i/>
        <sz val="10"/>
        <color indexed="12"/>
        <rFont val="Arial"/>
        <family val="2"/>
      </rPr>
      <t>2014</t>
    </r>
    <r>
      <rPr>
        <i/>
        <sz val="10"/>
        <rFont val="Arial"/>
        <family val="2"/>
      </rPr>
      <t xml:space="preserve"> through </t>
    </r>
    <r>
      <rPr>
        <i/>
        <sz val="10"/>
        <color indexed="12"/>
        <rFont val="Arial"/>
        <family val="2"/>
      </rPr>
      <t>2016</t>
    </r>
    <r>
      <rPr>
        <i/>
        <sz val="10"/>
        <rFont val="Arial"/>
        <family val="2"/>
      </rPr>
      <t xml:space="preserve"> Load Profile Information</t>
    </r>
  </si>
  <si>
    <t>Not Applicable to 2018/2019 BGS Supply Period</t>
  </si>
  <si>
    <r>
      <t xml:space="preserve"> based on </t>
    </r>
    <r>
      <rPr>
        <sz val="10"/>
        <color indexed="12"/>
        <rFont val="Arial"/>
        <family val="2"/>
      </rPr>
      <t xml:space="preserve">6/18 to 5/19 </t>
    </r>
    <r>
      <rPr>
        <sz val="10"/>
        <rFont val="Arial"/>
        <family val="2"/>
      </rPr>
      <t>Forwards @ PJM West corrected for hub-zone basis differential</t>
    </r>
  </si>
  <si>
    <r>
      <t xml:space="preserve"> forecasted </t>
    </r>
    <r>
      <rPr>
        <sz val="10"/>
        <color indexed="12"/>
        <rFont val="Arial"/>
        <family val="2"/>
      </rPr>
      <t>2017</t>
    </r>
    <r>
      <rPr>
        <sz val="10"/>
        <rFont val="Arial"/>
        <family val="2"/>
      </rPr>
      <t xml:space="preserve"> energy use by class based upon PJM on/off % from </t>
    </r>
    <r>
      <rPr>
        <sz val="10"/>
        <color indexed="12"/>
        <rFont val="Arial"/>
        <family val="2"/>
      </rPr>
      <t>2014 through 2016</t>
    </r>
    <r>
      <rPr>
        <sz val="10"/>
        <rFont val="Arial"/>
        <family val="2"/>
      </rPr>
      <t xml:space="preserve"> class load profiles</t>
    </r>
  </si>
  <si>
    <r>
      <t xml:space="preserve">   JCP&amp;L billing on/off % from </t>
    </r>
    <r>
      <rPr>
        <sz val="10"/>
        <color indexed="12"/>
        <rFont val="Arial"/>
        <family val="2"/>
      </rPr>
      <t>2017</t>
    </r>
    <r>
      <rPr>
        <sz val="10"/>
        <rFont val="Arial"/>
        <family val="2"/>
      </rPr>
      <t xml:space="preserve"> forecasted billing determinants</t>
    </r>
  </si>
  <si>
    <r>
      <t xml:space="preserve"> class totals for </t>
    </r>
    <r>
      <rPr>
        <sz val="10"/>
        <color indexed="12"/>
        <rFont val="Arial"/>
        <family val="2"/>
      </rPr>
      <t>2017</t>
    </r>
    <r>
      <rPr>
        <sz val="10"/>
        <rFont val="Arial"/>
        <family val="2"/>
      </rPr>
      <t xml:space="preserve"> excluding accounts required to take service under BGS-CIEP as of </t>
    </r>
    <r>
      <rPr>
        <sz val="10"/>
        <color indexed="12"/>
        <rFont val="Arial"/>
        <family val="2"/>
      </rPr>
      <t>June 1, 2018</t>
    </r>
  </si>
  <si>
    <r>
      <t xml:space="preserve"> Bid Factors and establish retail rates in Post Transition Year </t>
    </r>
    <r>
      <rPr>
        <sz val="10"/>
        <color indexed="12"/>
        <rFont val="Arial"/>
        <family val="2"/>
      </rPr>
      <t>15</t>
    </r>
    <r>
      <rPr>
        <sz val="10"/>
        <rFont val="Arial"/>
        <family val="2"/>
      </rPr>
      <t xml:space="preserve"> and adjusted to match the total cost at the actual supplier bid price.</t>
    </r>
  </si>
  <si>
    <t>Post Transition Year 15 Bid price</t>
  </si>
  <si>
    <t>Post Transition Year 16 Costs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</si>
</sst>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1">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0.000"/>
    <numFmt numFmtId="166" formatCode="0.00000"/>
    <numFmt numFmtId="167" formatCode="0.0000"/>
    <numFmt numFmtId="168" formatCode="0.000%"/>
    <numFmt numFmtId="169" formatCode="0.0000%"/>
    <numFmt numFmtId="170" formatCode="#,##0.0"/>
    <numFmt numFmtId="171" formatCode="_(&quot;$&quot;* #,##0_);_(&quot;$&quot;* \(#,##0\);_(&quot;$&quot;* &quot;-&quot;??_);_(@_)"/>
    <numFmt numFmtId="172" formatCode="0.000000"/>
    <numFmt numFmtId="173" formatCode="_(&quot;$&quot;* #,##0.000_);_(&quot;$&quot;* \(#,##0.000\);_(&quot;$&quot;* &quot;-&quot;??_);_(@_)"/>
    <numFmt numFmtId="174" formatCode="_(&quot;$&quot;* #,##0.0000_);_(&quot;$&quot;* \(#,##0.0000\);_(&quot;$&quot;* &quot;-&quot;??_);_(@_)"/>
    <numFmt numFmtId="175" formatCode="0.0%"/>
    <numFmt numFmtId="176" formatCode="_(* #,##0_);_(* \(#,##0\);_(* &quot;-&quot;??_);_(@_)"/>
    <numFmt numFmtId="177" formatCode="_(* #,##0.000_);_(* \(#,##0.000\);_(* &quot;-&quot;??_);_(@_)"/>
    <numFmt numFmtId="178" formatCode="_(* #,##0.0000_);_(* \(#,##0.0000\);_(* &quot;-&quot;??_);_(@_)"/>
    <numFmt numFmtId="179" formatCode="_(* #,##0.00000_);_(* \(#,##0.00000\);_(* &quot;-&quot;??_);_(@_)"/>
    <numFmt numFmtId="180" formatCode="#,##0.000"/>
    <numFmt numFmtId="181" formatCode="_(* #,##0.000000_);_(* \(#,##0.000000\);_(* &quot;-&quot;??_);_(@_)"/>
    <numFmt numFmtId="182" formatCode="0.000000%"/>
    <numFmt numFmtId="183" formatCode="mm/dd/yy;@"/>
    <numFmt numFmtId="184" formatCode="&quot;$&quot;#,##0.000000"/>
    <numFmt numFmtId="185" formatCode="&quot;$&quot;#,##0"/>
    <numFmt numFmtId="186" formatCode="&quot;$&quot;#,##0.0000"/>
    <numFmt numFmtId="187" formatCode="&quot;$&quot;#,##0.00"/>
    <numFmt numFmtId="188" formatCode="#,##0.000000_);\(#,##0.000000\)"/>
    <numFmt numFmtId="189" formatCode="_(* #,##0.0_);_(* \(#,##0.0\);_(* &quot;-&quot;??_);_(@_)"/>
    <numFmt numFmtId="190" formatCode="&quot;$&quot;#,##0.000"/>
  </numFmts>
  <fonts count="67"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indexed="12"/>
      <name val="Arial"/>
      <family val="2"/>
    </font>
    <font>
      <i/>
      <sz val="10"/>
      <name val="Arial"/>
      <family val="2"/>
    </font>
    <font>
      <b/>
      <sz val="12"/>
      <name val="Arial"/>
      <family val="2"/>
    </font>
    <font>
      <i/>
      <u/>
      <sz val="10"/>
      <name val="Arial"/>
      <family val="2"/>
    </font>
    <font>
      <b/>
      <i/>
      <sz val="10"/>
      <name val="Arial"/>
      <family val="2"/>
    </font>
    <font>
      <u/>
      <sz val="10"/>
      <name val="Arial"/>
      <family val="2"/>
    </font>
    <font>
      <b/>
      <sz val="10"/>
      <color indexed="54"/>
      <name val="Arial"/>
      <family val="2"/>
    </font>
    <font>
      <sz val="10"/>
      <color indexed="8"/>
      <name val="Arial"/>
      <family val="2"/>
    </font>
    <font>
      <b/>
      <u/>
      <sz val="10"/>
      <name val="Arial"/>
      <family val="2"/>
    </font>
    <font>
      <u val="singleAccounting"/>
      <sz val="10"/>
      <name val="Arial"/>
      <family val="2"/>
    </font>
    <font>
      <sz val="10"/>
      <color indexed="54"/>
      <name val="Arial"/>
      <family val="2"/>
    </font>
    <font>
      <u/>
      <sz val="10"/>
      <color indexed="54"/>
      <name val="Arial"/>
      <family val="2"/>
    </font>
    <font>
      <b/>
      <sz val="10"/>
      <color indexed="10"/>
      <name val="Arial"/>
      <family val="2"/>
    </font>
    <font>
      <sz val="10"/>
      <color indexed="20"/>
      <name val="Arial"/>
      <family val="2"/>
    </font>
    <font>
      <sz val="8"/>
      <color indexed="81"/>
      <name val="Tahoma"/>
      <family val="2"/>
    </font>
    <font>
      <b/>
      <sz val="8"/>
      <color indexed="81"/>
      <name val="Tahoma"/>
      <family val="2"/>
    </font>
    <font>
      <b/>
      <sz val="10"/>
      <color indexed="12"/>
      <name val="Arial"/>
      <family val="2"/>
    </font>
    <font>
      <b/>
      <sz val="10"/>
      <color indexed="16"/>
      <name val="Arial"/>
      <family val="2"/>
    </font>
    <font>
      <sz val="10"/>
      <color indexed="16"/>
      <name val="Arial"/>
      <family val="2"/>
    </font>
    <font>
      <sz val="10"/>
      <color indexed="53"/>
      <name val="Arial"/>
      <family val="2"/>
    </font>
    <font>
      <u/>
      <sz val="10"/>
      <color indexed="53"/>
      <name val="Arial"/>
      <family val="2"/>
    </font>
    <font>
      <u/>
      <sz val="10"/>
      <color indexed="8"/>
      <name val="Arial"/>
      <family val="2"/>
    </font>
    <font>
      <b/>
      <sz val="10"/>
      <color indexed="53"/>
      <name val="Arial"/>
      <family val="2"/>
    </font>
    <font>
      <b/>
      <sz val="10"/>
      <color indexed="8"/>
      <name val="Arial"/>
      <family val="2"/>
    </font>
    <font>
      <b/>
      <sz val="12"/>
      <color indexed="12"/>
      <name val="Arial"/>
      <family val="2"/>
    </font>
    <font>
      <sz val="10"/>
      <color indexed="17"/>
      <name val="Arial"/>
      <family val="2"/>
    </font>
    <font>
      <b/>
      <sz val="10"/>
      <color indexed="20"/>
      <name val="Arial"/>
      <family val="2"/>
    </font>
    <font>
      <b/>
      <sz val="10"/>
      <color indexed="17"/>
      <name val="Arial"/>
      <family val="2"/>
    </font>
    <font>
      <sz val="8"/>
      <name val="Arial"/>
      <family val="2"/>
    </font>
    <font>
      <i/>
      <sz val="10"/>
      <color indexed="12"/>
      <name val="Arial"/>
      <family val="2"/>
    </font>
    <font>
      <u/>
      <sz val="10"/>
      <name val="Arial"/>
      <family val="2"/>
    </font>
    <font>
      <sz val="10"/>
      <color indexed="12"/>
      <name val="Arial"/>
      <family val="2"/>
    </font>
    <font>
      <u/>
      <sz val="10"/>
      <color indexed="20"/>
      <name val="Arial"/>
      <family val="2"/>
    </font>
    <font>
      <sz val="10"/>
      <color indexed="81"/>
      <name val="Tahoma"/>
      <family val="2"/>
    </font>
    <font>
      <b/>
      <i/>
      <sz val="10"/>
      <color indexed="12"/>
      <name val="Arial"/>
      <family val="2"/>
    </font>
    <font>
      <b/>
      <u/>
      <sz val="10"/>
      <color indexed="12"/>
      <name val="Arial"/>
      <family val="2"/>
    </font>
    <font>
      <sz val="10"/>
      <color indexed="17"/>
      <name val="Arial"/>
      <family val="2"/>
    </font>
    <font>
      <u/>
      <sz val="10"/>
      <color indexed="17"/>
      <name val="Arial"/>
      <family val="2"/>
    </font>
    <font>
      <sz val="10"/>
      <color indexed="10"/>
      <name val="Arial"/>
      <family val="2"/>
    </font>
    <font>
      <sz val="9"/>
      <color indexed="81"/>
      <name val="Tahoma"/>
      <family val="2"/>
    </font>
    <font>
      <sz val="10"/>
      <color indexed="30"/>
      <name val="Arial"/>
      <family val="2"/>
    </font>
    <font>
      <u/>
      <sz val="10"/>
      <color indexed="16"/>
      <name val="Arial"/>
      <family val="2"/>
    </font>
    <font>
      <b/>
      <sz val="9"/>
      <color indexed="81"/>
      <name val="Tahoma"/>
      <family val="2"/>
    </font>
    <font>
      <sz val="11"/>
      <color indexed="81"/>
      <name val="Tahoma"/>
      <family val="2"/>
    </font>
    <font>
      <i/>
      <sz val="8"/>
      <name val="Arial"/>
      <family val="2"/>
    </font>
    <font>
      <b/>
      <u/>
      <sz val="12"/>
      <name val="Times New Roman"/>
      <family val="1"/>
    </font>
    <font>
      <u/>
      <sz val="12"/>
      <name val="Times New Roman"/>
      <family val="1"/>
    </font>
    <font>
      <i/>
      <sz val="8"/>
      <color indexed="12"/>
      <name val="Arial"/>
      <family val="2"/>
    </font>
    <font>
      <i/>
      <sz val="8"/>
      <color indexed="17"/>
      <name val="Arial"/>
      <family val="2"/>
    </font>
    <font>
      <b/>
      <sz val="12"/>
      <name val="Times New Roman"/>
      <family val="1"/>
    </font>
    <font>
      <b/>
      <sz val="20"/>
      <color indexed="10"/>
      <name val="Arial"/>
      <family val="2"/>
    </font>
    <font>
      <b/>
      <sz val="10"/>
      <color indexed="13"/>
      <name val="Arial"/>
      <family val="2"/>
    </font>
    <font>
      <sz val="10"/>
      <color indexed="13"/>
      <name val="Arial"/>
      <family val="2"/>
    </font>
    <font>
      <sz val="10"/>
      <color indexed="10"/>
      <name val="Arial"/>
      <family val="2"/>
    </font>
    <font>
      <sz val="10"/>
      <color rgb="FF0000FF"/>
      <name val="Arial"/>
      <family val="2"/>
    </font>
    <font>
      <sz val="10"/>
      <color rgb="FF7030A0"/>
      <name val="Arial"/>
      <family val="2"/>
    </font>
    <font>
      <sz val="10"/>
      <color theme="9" tint="-0.499984740745262"/>
      <name val="Arial"/>
      <family val="2"/>
    </font>
    <font>
      <b/>
      <sz val="10"/>
      <color rgb="FF7030A0"/>
      <name val="Arial"/>
      <family val="2"/>
    </font>
    <font>
      <sz val="10"/>
      <color rgb="FF006600"/>
      <name val="Arial"/>
      <family val="2"/>
    </font>
    <font>
      <b/>
      <sz val="10"/>
      <color rgb="FFFF0000"/>
      <name val="Arial"/>
      <family val="2"/>
    </font>
    <font>
      <u/>
      <sz val="10"/>
      <color rgb="FF0000FF"/>
      <name val="Arial"/>
      <family val="2"/>
    </font>
    <font>
      <i/>
      <sz val="10"/>
      <color rgb="FF0000FF"/>
      <name val="Arial"/>
      <family val="2"/>
    </font>
  </fonts>
  <fills count="11">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00"/>
        <bgColor indexed="64"/>
      </patternFill>
    </fill>
    <fill>
      <patternFill patternType="solid">
        <fgColor rgb="FFFFC000"/>
        <bgColor indexed="64"/>
      </patternFill>
    </fill>
    <fill>
      <patternFill patternType="solid">
        <fgColor theme="9" tint="0.39997558519241921"/>
        <bgColor indexed="64"/>
      </patternFill>
    </fill>
    <fill>
      <patternFill patternType="solid">
        <fgColor rgb="FFFFFF99"/>
        <bgColor indexed="64"/>
      </patternFill>
    </fill>
    <fill>
      <patternFill patternType="solid">
        <fgColor rgb="FFCC99FF"/>
        <bgColor indexed="64"/>
      </patternFill>
    </fill>
  </fills>
  <borders count="25">
    <border>
      <left/>
      <right/>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2" fillId="0" borderId="0"/>
    <xf numFmtId="0" fontId="1" fillId="0" borderId="0"/>
    <xf numFmtId="9" fontId="1" fillId="0" borderId="0" applyFont="0" applyFill="0" applyBorder="0" applyAlignment="0" applyProtection="0"/>
  </cellStyleXfs>
  <cellXfs count="553">
    <xf numFmtId="0" fontId="0" fillId="0" borderId="0" xfId="0"/>
    <xf numFmtId="0" fontId="4" fillId="0" borderId="0" xfId="0" applyFont="1"/>
    <xf numFmtId="0" fontId="4" fillId="0" borderId="0" xfId="0" applyFont="1" applyAlignment="1">
      <alignment horizontal="center"/>
    </xf>
    <xf numFmtId="171" fontId="0" fillId="0" borderId="0" xfId="0" applyNumberFormat="1"/>
    <xf numFmtId="3" fontId="0" fillId="0" borderId="0" xfId="0" applyNumberFormat="1"/>
    <xf numFmtId="0" fontId="0" fillId="0" borderId="0" xfId="0" applyAlignment="1">
      <alignment horizontal="center"/>
    </xf>
    <xf numFmtId="0" fontId="9" fillId="0" borderId="0" xfId="0" applyFont="1" applyAlignment="1">
      <alignment horizontal="left"/>
    </xf>
    <xf numFmtId="0" fontId="6" fillId="0" borderId="0" xfId="0" applyFont="1" applyAlignment="1">
      <alignment horizontal="left"/>
    </xf>
    <xf numFmtId="0" fontId="10" fillId="0" borderId="0" xfId="0" applyFont="1" applyAlignment="1">
      <alignment horizontal="center"/>
    </xf>
    <xf numFmtId="43" fontId="3" fillId="0" borderId="0" xfId="1" quotePrefix="1" applyFont="1"/>
    <xf numFmtId="0" fontId="10" fillId="0" borderId="0" xfId="0" applyFont="1"/>
    <xf numFmtId="44" fontId="5" fillId="0" borderId="0" xfId="2" applyNumberFormat="1" applyFont="1" applyFill="1"/>
    <xf numFmtId="0" fontId="0" fillId="0" borderId="0" xfId="0" applyFill="1" applyAlignment="1">
      <alignment horizontal="left"/>
    </xf>
    <xf numFmtId="0" fontId="0" fillId="0" borderId="0" xfId="0" applyFill="1"/>
    <xf numFmtId="0" fontId="7" fillId="0" borderId="0" xfId="0" applyFont="1" applyFill="1"/>
    <xf numFmtId="0" fontId="8" fillId="0" borderId="0" xfId="0" applyFont="1" applyFill="1" applyAlignment="1">
      <alignment horizontal="left"/>
    </xf>
    <xf numFmtId="0" fontId="4" fillId="0" borderId="0" xfId="0" applyFont="1" applyFill="1"/>
    <xf numFmtId="0" fontId="6" fillId="0" borderId="0" xfId="0" applyFont="1" applyFill="1"/>
    <xf numFmtId="0" fontId="9" fillId="0" borderId="0" xfId="0" applyFont="1" applyFill="1" applyAlignment="1">
      <alignment horizontal="left"/>
    </xf>
    <xf numFmtId="0" fontId="4" fillId="0" borderId="0" xfId="0" quotePrefix="1" applyFont="1" applyFill="1" applyBorder="1"/>
    <xf numFmtId="39" fontId="3" fillId="0" borderId="0" xfId="0" quotePrefix="1" applyNumberFormat="1" applyFont="1" applyFill="1"/>
    <xf numFmtId="0" fontId="3" fillId="0" borderId="0" xfId="0" applyFont="1" applyFill="1"/>
    <xf numFmtId="0" fontId="6" fillId="0" borderId="0" xfId="0" applyFont="1" applyFill="1" applyAlignment="1">
      <alignment horizontal="left"/>
    </xf>
    <xf numFmtId="0" fontId="6" fillId="0" borderId="0" xfId="0" applyFont="1" applyFill="1" applyAlignment="1">
      <alignment horizontal="center" wrapText="1"/>
    </xf>
    <xf numFmtId="0" fontId="6" fillId="0" borderId="0" xfId="0" quotePrefix="1" applyFont="1" applyFill="1"/>
    <xf numFmtId="0" fontId="11" fillId="0" borderId="0" xfId="0" applyFont="1" applyFill="1" applyAlignment="1">
      <alignment horizontal="center"/>
    </xf>
    <xf numFmtId="0" fontId="4" fillId="0" borderId="0" xfId="0" applyFont="1" applyFill="1" applyAlignment="1">
      <alignment horizontal="center"/>
    </xf>
    <xf numFmtId="0" fontId="6" fillId="0" borderId="0" xfId="0" applyFont="1" applyFill="1" applyAlignment="1">
      <alignment horizontal="center"/>
    </xf>
    <xf numFmtId="17" fontId="0" fillId="0" borderId="0" xfId="0" applyNumberFormat="1" applyFill="1"/>
    <xf numFmtId="175" fontId="5" fillId="0" borderId="0" xfId="3" applyNumberFormat="1" applyFont="1" applyFill="1"/>
    <xf numFmtId="175" fontId="5" fillId="0" borderId="0" xfId="3" quotePrefix="1" applyNumberFormat="1" applyFont="1" applyFill="1"/>
    <xf numFmtId="9" fontId="5" fillId="0" borderId="0" xfId="3" quotePrefix="1" applyFont="1" applyFill="1"/>
    <xf numFmtId="9" fontId="3" fillId="0" borderId="0" xfId="3" quotePrefix="1" applyFont="1" applyFill="1"/>
    <xf numFmtId="9" fontId="5" fillId="0" borderId="0" xfId="3" applyNumberFormat="1" applyFont="1" applyFill="1"/>
    <xf numFmtId="9" fontId="6" fillId="0" borderId="0" xfId="3" applyFont="1" applyFill="1"/>
    <xf numFmtId="9" fontId="5" fillId="0" borderId="0" xfId="3" quotePrefix="1" applyFont="1" applyFill="1" applyAlignment="1">
      <alignment horizontal="center"/>
    </xf>
    <xf numFmtId="17" fontId="0" fillId="0" borderId="0" xfId="0" quotePrefix="1" applyNumberFormat="1" applyFill="1"/>
    <xf numFmtId="17" fontId="4" fillId="0" borderId="0" xfId="0" applyNumberFormat="1" applyFont="1" applyFill="1"/>
    <xf numFmtId="0" fontId="10" fillId="0" borderId="0" xfId="0" applyFont="1" applyFill="1" applyAlignment="1">
      <alignment horizontal="center"/>
    </xf>
    <xf numFmtId="17" fontId="6" fillId="0" borderId="0" xfId="0" applyNumberFormat="1" applyFont="1" applyFill="1"/>
    <xf numFmtId="0" fontId="0" fillId="0" borderId="1" xfId="0" applyFill="1" applyBorder="1"/>
    <xf numFmtId="0" fontId="0" fillId="0" borderId="2" xfId="0" applyFill="1" applyBorder="1"/>
    <xf numFmtId="0" fontId="0" fillId="0" borderId="3" xfId="0" applyFill="1" applyBorder="1"/>
    <xf numFmtId="0" fontId="4" fillId="0" borderId="4" xfId="0" applyFont="1" applyFill="1" applyBorder="1" applyAlignment="1">
      <alignment horizontal="center"/>
    </xf>
    <xf numFmtId="0" fontId="4" fillId="0" borderId="0" xfId="0" applyFont="1" applyFill="1" applyBorder="1" applyAlignment="1">
      <alignment horizontal="center"/>
    </xf>
    <xf numFmtId="0" fontId="4" fillId="0" borderId="5" xfId="0" applyFont="1" applyFill="1" applyBorder="1" applyAlignment="1">
      <alignment horizontal="center"/>
    </xf>
    <xf numFmtId="0" fontId="0" fillId="0" borderId="4" xfId="0" applyFill="1" applyBorder="1"/>
    <xf numFmtId="0" fontId="0" fillId="0" borderId="0" xfId="0" applyFill="1" applyBorder="1"/>
    <xf numFmtId="0" fontId="0" fillId="0" borderId="5" xfId="0" applyFill="1" applyBorder="1"/>
    <xf numFmtId="3" fontId="5" fillId="0" borderId="0" xfId="0" applyNumberFormat="1" applyFont="1" applyFill="1"/>
    <xf numFmtId="3" fontId="12" fillId="0" borderId="0" xfId="0" applyNumberFormat="1" applyFont="1" applyFill="1"/>
    <xf numFmtId="0" fontId="0" fillId="0" borderId="4" xfId="0" applyFill="1" applyBorder="1" applyAlignment="1">
      <alignment horizontal="right"/>
    </xf>
    <xf numFmtId="3" fontId="0" fillId="0" borderId="0" xfId="0" quotePrefix="1" applyNumberFormat="1" applyFill="1" applyBorder="1"/>
    <xf numFmtId="3" fontId="0" fillId="0" borderId="0" xfId="0" applyNumberFormat="1" applyFill="1" applyBorder="1"/>
    <xf numFmtId="3" fontId="0" fillId="0" borderId="5" xfId="0" applyNumberFormat="1" applyFill="1" applyBorder="1"/>
    <xf numFmtId="3" fontId="0" fillId="0" borderId="0" xfId="0" applyNumberFormat="1" applyFill="1"/>
    <xf numFmtId="166" fontId="0" fillId="0" borderId="5" xfId="0" applyNumberFormat="1" applyFill="1" applyBorder="1"/>
    <xf numFmtId="0" fontId="0" fillId="0" borderId="6" xfId="0" applyFill="1" applyBorder="1"/>
    <xf numFmtId="0" fontId="0" fillId="0" borderId="7" xfId="0" applyFill="1" applyBorder="1"/>
    <xf numFmtId="0" fontId="0" fillId="0" borderId="8" xfId="0" applyFill="1" applyBorder="1"/>
    <xf numFmtId="17" fontId="0" fillId="0" borderId="0" xfId="0" applyNumberFormat="1" applyFill="1" applyAlignment="1">
      <alignment horizontal="center"/>
    </xf>
    <xf numFmtId="37" fontId="0" fillId="0" borderId="0" xfId="0" applyNumberFormat="1" applyFill="1"/>
    <xf numFmtId="0" fontId="9" fillId="0" borderId="0" xfId="0" applyFont="1" applyFill="1" applyAlignment="1">
      <alignment horizontal="center"/>
    </xf>
    <xf numFmtId="0" fontId="0" fillId="0" borderId="0" xfId="0" applyFill="1" applyAlignment="1"/>
    <xf numFmtId="0" fontId="0" fillId="0" borderId="6" xfId="0" applyFill="1" applyBorder="1" applyAlignment="1">
      <alignment horizontal="right"/>
    </xf>
    <xf numFmtId="3" fontId="0" fillId="0" borderId="7" xfId="0" quotePrefix="1" applyNumberFormat="1" applyFill="1" applyBorder="1"/>
    <xf numFmtId="3" fontId="0" fillId="0" borderId="7" xfId="0" applyNumberFormat="1" applyFill="1" applyBorder="1"/>
    <xf numFmtId="180" fontId="5" fillId="0" borderId="0" xfId="0" applyNumberFormat="1" applyFont="1" applyFill="1"/>
    <xf numFmtId="171" fontId="0" fillId="0" borderId="0" xfId="0" applyNumberFormat="1" applyFill="1" applyBorder="1"/>
    <xf numFmtId="4" fontId="5" fillId="0" borderId="0" xfId="0" applyNumberFormat="1" applyFont="1" applyFill="1"/>
    <xf numFmtId="9" fontId="5" fillId="0" borderId="0" xfId="3" applyFont="1" applyFill="1"/>
    <xf numFmtId="0" fontId="0" fillId="0" borderId="0" xfId="0" applyFill="1" applyAlignment="1">
      <alignment horizontal="center"/>
    </xf>
    <xf numFmtId="169" fontId="5" fillId="0" borderId="0" xfId="0" applyNumberFormat="1" applyFont="1" applyFill="1"/>
    <xf numFmtId="166" fontId="0" fillId="0" borderId="0" xfId="0" applyNumberFormat="1" applyFill="1"/>
    <xf numFmtId="44" fontId="3" fillId="0" borderId="0" xfId="2" quotePrefix="1" applyFont="1" applyFill="1"/>
    <xf numFmtId="173" fontId="3" fillId="0" borderId="0" xfId="2" quotePrefix="1" applyNumberFormat="1" applyFont="1" applyFill="1"/>
    <xf numFmtId="171" fontId="3" fillId="0" borderId="0" xfId="2" quotePrefix="1" applyNumberFormat="1" applyFont="1" applyFill="1"/>
    <xf numFmtId="17" fontId="0" fillId="0" borderId="0" xfId="0" applyNumberFormat="1" applyFill="1" applyAlignment="1">
      <alignment horizontal="right"/>
    </xf>
    <xf numFmtId="44" fontId="3" fillId="0" borderId="0" xfId="2" applyFont="1" applyFill="1"/>
    <xf numFmtId="173" fontId="3" fillId="0" borderId="0" xfId="2" applyNumberFormat="1" applyFont="1" applyFill="1"/>
    <xf numFmtId="44" fontId="3" fillId="0" borderId="0" xfId="2" quotePrefix="1" applyNumberFormat="1" applyFont="1" applyFill="1"/>
    <xf numFmtId="171" fontId="0" fillId="0" borderId="0" xfId="0" applyNumberFormat="1" applyFill="1"/>
    <xf numFmtId="171" fontId="3" fillId="0" borderId="0" xfId="2" applyNumberFormat="1" applyFont="1" applyFill="1"/>
    <xf numFmtId="39" fontId="0" fillId="0" borderId="0" xfId="0" applyNumberFormat="1" applyFill="1"/>
    <xf numFmtId="171" fontId="0" fillId="0" borderId="0" xfId="2" applyNumberFormat="1" applyFont="1" applyFill="1"/>
    <xf numFmtId="171" fontId="14" fillId="0" borderId="0" xfId="2" applyNumberFormat="1" applyFont="1" applyFill="1"/>
    <xf numFmtId="170" fontId="5" fillId="0" borderId="0" xfId="0" applyNumberFormat="1" applyFont="1" applyFill="1"/>
    <xf numFmtId="170" fontId="0" fillId="0" borderId="0" xfId="0" applyNumberFormat="1" applyFill="1"/>
    <xf numFmtId="170" fontId="12" fillId="0" borderId="0" xfId="0" applyNumberFormat="1" applyFont="1" applyFill="1"/>
    <xf numFmtId="0" fontId="0" fillId="0" borderId="0" xfId="0" applyFill="1" applyAlignment="1">
      <alignment horizontal="right"/>
    </xf>
    <xf numFmtId="0" fontId="5" fillId="0" borderId="0" xfId="0" applyFont="1" applyFill="1"/>
    <xf numFmtId="0" fontId="0" fillId="0" borderId="0" xfId="0" quotePrefix="1" applyFill="1" applyAlignment="1">
      <alignment horizontal="right"/>
    </xf>
    <xf numFmtId="171" fontId="5" fillId="0" borderId="0" xfId="2" applyNumberFormat="1" applyFont="1" applyFill="1"/>
    <xf numFmtId="0" fontId="0" fillId="0" borderId="0" xfId="0" quotePrefix="1" applyFill="1"/>
    <xf numFmtId="0" fontId="3" fillId="0" borderId="0" xfId="0" quotePrefix="1" applyFont="1" applyFill="1" applyAlignment="1">
      <alignment horizontal="center"/>
    </xf>
    <xf numFmtId="44" fontId="0" fillId="0" borderId="0" xfId="2" quotePrefix="1" applyFont="1" applyFill="1"/>
    <xf numFmtId="0" fontId="10" fillId="0" borderId="0" xfId="0" applyFont="1" applyFill="1" applyAlignment="1">
      <alignment horizontal="left"/>
    </xf>
    <xf numFmtId="44" fontId="3" fillId="0" borderId="0" xfId="2" applyNumberFormat="1" applyFont="1" applyFill="1"/>
    <xf numFmtId="43" fontId="4" fillId="0" borderId="0" xfId="1" quotePrefix="1" applyFont="1" applyFill="1" applyBorder="1"/>
    <xf numFmtId="43" fontId="3" fillId="0" borderId="0" xfId="1" quotePrefix="1" applyFont="1" applyFill="1"/>
    <xf numFmtId="43" fontId="3" fillId="0" borderId="0" xfId="1" quotePrefix="1" applyFont="1" applyFill="1" applyBorder="1"/>
    <xf numFmtId="44" fontId="4" fillId="0" borderId="0" xfId="0" applyNumberFormat="1" applyFont="1" applyFill="1"/>
    <xf numFmtId="44" fontId="0" fillId="0" borderId="0" xfId="0" applyNumberFormat="1" applyFill="1"/>
    <xf numFmtId="43" fontId="3" fillId="0" borderId="0" xfId="1" applyFont="1" applyFill="1"/>
    <xf numFmtId="178" fontId="4" fillId="0" borderId="0" xfId="1" applyNumberFormat="1" applyFont="1"/>
    <xf numFmtId="0" fontId="4" fillId="0" borderId="0" xfId="0" applyFont="1" applyFill="1" applyAlignment="1">
      <alignment horizontal="centerContinuous"/>
    </xf>
    <xf numFmtId="0" fontId="0" fillId="0" borderId="0" xfId="0" applyFill="1" applyAlignment="1">
      <alignment horizontal="centerContinuous"/>
    </xf>
    <xf numFmtId="167" fontId="15" fillId="0" borderId="0" xfId="0" applyNumberFormat="1" applyFont="1" applyFill="1"/>
    <xf numFmtId="0" fontId="16" fillId="0" borderId="0" xfId="0" applyFont="1" applyFill="1"/>
    <xf numFmtId="10" fontId="0" fillId="0" borderId="0" xfId="0" applyNumberFormat="1" applyFill="1"/>
    <xf numFmtId="0" fontId="3" fillId="0" borderId="0" xfId="0" applyFont="1" applyFill="1" applyAlignment="1">
      <alignment horizontal="right"/>
    </xf>
    <xf numFmtId="167" fontId="3" fillId="0" borderId="0" xfId="0" applyNumberFormat="1" applyFont="1" applyFill="1"/>
    <xf numFmtId="0" fontId="17" fillId="0" borderId="0" xfId="0" applyFont="1" applyFill="1"/>
    <xf numFmtId="44" fontId="4" fillId="0" borderId="0" xfId="2" quotePrefix="1" applyFont="1" applyFill="1" applyBorder="1"/>
    <xf numFmtId="0" fontId="0" fillId="0" borderId="0" xfId="0" applyFill="1" applyBorder="1" applyAlignment="1">
      <alignment horizontal="right"/>
    </xf>
    <xf numFmtId="3" fontId="0" fillId="0" borderId="0" xfId="0" applyNumberFormat="1" applyFill="1" applyBorder="1" applyAlignment="1">
      <alignment horizontal="right"/>
    </xf>
    <xf numFmtId="0" fontId="3" fillId="0" borderId="0" xfId="0" applyFont="1" applyFill="1" applyBorder="1" applyAlignment="1">
      <alignment horizontal="right"/>
    </xf>
    <xf numFmtId="0" fontId="0" fillId="0" borderId="7" xfId="0" applyFill="1" applyBorder="1" applyAlignment="1">
      <alignment horizontal="right"/>
    </xf>
    <xf numFmtId="10" fontId="12" fillId="0" borderId="0" xfId="0" applyNumberFormat="1" applyFont="1" applyFill="1"/>
    <xf numFmtId="0" fontId="0" fillId="0" borderId="0" xfId="0" quotePrefix="1"/>
    <xf numFmtId="174" fontId="3" fillId="0" borderId="0" xfId="2" quotePrefix="1" applyNumberFormat="1" applyFont="1" applyFill="1"/>
    <xf numFmtId="22" fontId="0" fillId="0" borderId="0" xfId="0" applyNumberFormat="1" applyFill="1"/>
    <xf numFmtId="0" fontId="10" fillId="0" borderId="0" xfId="0" applyFont="1" applyFill="1" applyAlignment="1">
      <alignment horizontal="right"/>
    </xf>
    <xf numFmtId="171" fontId="14" fillId="0" borderId="0" xfId="0" applyNumberFormat="1" applyFont="1" applyFill="1"/>
    <xf numFmtId="177" fontId="4" fillId="0" borderId="0" xfId="1" quotePrefix="1" applyNumberFormat="1" applyFont="1" applyFill="1" applyBorder="1"/>
    <xf numFmtId="177" fontId="3" fillId="0" borderId="0" xfId="1" quotePrefix="1" applyNumberFormat="1" applyFont="1" applyFill="1" applyBorder="1"/>
    <xf numFmtId="177" fontId="3" fillId="0" borderId="0" xfId="0" applyNumberFormat="1" applyFont="1" applyFill="1" applyAlignment="1">
      <alignment horizontal="right"/>
    </xf>
    <xf numFmtId="165" fontId="5" fillId="0" borderId="0" xfId="0" applyNumberFormat="1" applyFont="1" applyFill="1"/>
    <xf numFmtId="0" fontId="4" fillId="0" borderId="0" xfId="0" quotePrefix="1" applyFont="1" applyFill="1" applyAlignment="1"/>
    <xf numFmtId="9" fontId="5" fillId="0" borderId="9" xfId="3" applyNumberFormat="1" applyFont="1" applyFill="1" applyBorder="1"/>
    <xf numFmtId="9" fontId="5" fillId="0" borderId="10" xfId="3" applyNumberFormat="1" applyFont="1" applyFill="1" applyBorder="1"/>
    <xf numFmtId="3" fontId="18" fillId="0" borderId="0" xfId="0" applyNumberFormat="1" applyFont="1" applyFill="1" applyBorder="1" applyAlignment="1">
      <alignment horizontal="right"/>
    </xf>
    <xf numFmtId="0" fontId="0" fillId="0" borderId="0" xfId="0" applyFill="1" applyBorder="1" applyAlignment="1">
      <alignment horizontal="center"/>
    </xf>
    <xf numFmtId="0" fontId="0" fillId="0" borderId="7" xfId="0" applyFill="1" applyBorder="1" applyAlignment="1">
      <alignment horizontal="center"/>
    </xf>
    <xf numFmtId="0" fontId="10" fillId="0" borderId="0" xfId="0" applyFont="1" applyFill="1"/>
    <xf numFmtId="9" fontId="22" fillId="0" borderId="0" xfId="3" applyFont="1" applyFill="1"/>
    <xf numFmtId="10" fontId="5" fillId="0" borderId="0" xfId="3" quotePrefix="1" applyNumberFormat="1" applyFont="1" applyFill="1" applyAlignment="1">
      <alignment horizontal="center"/>
    </xf>
    <xf numFmtId="0" fontId="12" fillId="0" borderId="0" xfId="0" applyFont="1" applyFill="1"/>
    <xf numFmtId="1" fontId="0" fillId="0" borderId="0" xfId="0" applyNumberFormat="1"/>
    <xf numFmtId="3" fontId="10" fillId="0" borderId="0" xfId="0" applyNumberFormat="1" applyFont="1" applyFill="1"/>
    <xf numFmtId="175" fontId="2" fillId="0" borderId="0" xfId="3" applyNumberFormat="1" applyFill="1"/>
    <xf numFmtId="171" fontId="2" fillId="0" borderId="0" xfId="2" applyNumberFormat="1" applyFill="1" applyBorder="1"/>
    <xf numFmtId="171" fontId="2" fillId="0" borderId="7" xfId="2" applyNumberFormat="1" applyFill="1" applyBorder="1"/>
    <xf numFmtId="44" fontId="2" fillId="0" borderId="0" xfId="2" applyFill="1"/>
    <xf numFmtId="173" fontId="2" fillId="0" borderId="0" xfId="2" applyNumberFormat="1" applyFill="1"/>
    <xf numFmtId="171" fontId="2" fillId="0" borderId="0" xfId="2" applyNumberFormat="1" applyFill="1"/>
    <xf numFmtId="44" fontId="2" fillId="0" borderId="0" xfId="2" quotePrefix="1" applyFont="1" applyFill="1"/>
    <xf numFmtId="173" fontId="2" fillId="0" borderId="0" xfId="2" quotePrefix="1" applyNumberFormat="1" applyFont="1" applyFill="1"/>
    <xf numFmtId="3" fontId="2" fillId="0" borderId="0" xfId="2" quotePrefix="1" applyNumberFormat="1" applyFont="1" applyFill="1"/>
    <xf numFmtId="176" fontId="2" fillId="0" borderId="0" xfId="1" applyNumberFormat="1" applyFill="1"/>
    <xf numFmtId="171" fontId="2" fillId="0" borderId="0" xfId="2" applyNumberFormat="1"/>
    <xf numFmtId="9" fontId="2" fillId="0" borderId="0" xfId="3"/>
    <xf numFmtId="171" fontId="2" fillId="0" borderId="0" xfId="3" applyNumberFormat="1"/>
    <xf numFmtId="44" fontId="2" fillId="0" borderId="0" xfId="2"/>
    <xf numFmtId="10" fontId="12" fillId="0" borderId="0" xfId="3" applyNumberFormat="1" applyFont="1" applyFill="1"/>
    <xf numFmtId="169" fontId="12" fillId="0" borderId="0" xfId="0" applyNumberFormat="1" applyFont="1" applyFill="1"/>
    <xf numFmtId="9" fontId="4" fillId="0" borderId="0" xfId="0" applyNumberFormat="1" applyFont="1" applyFill="1" applyAlignment="1">
      <alignment horizontal="center"/>
    </xf>
    <xf numFmtId="9" fontId="12" fillId="0" borderId="0" xfId="3" quotePrefix="1" applyFont="1" applyFill="1" applyAlignment="1">
      <alignment horizontal="center"/>
    </xf>
    <xf numFmtId="3" fontId="12" fillId="0" borderId="0" xfId="0" applyNumberFormat="1" applyFont="1" applyFill="1" applyBorder="1" applyAlignment="1">
      <alignment horizontal="right"/>
    </xf>
    <xf numFmtId="3" fontId="12" fillId="0" borderId="0" xfId="0" applyNumberFormat="1" applyFont="1" applyFill="1" applyBorder="1"/>
    <xf numFmtId="178" fontId="3" fillId="0" borderId="0" xfId="1" applyNumberFormat="1" applyFont="1"/>
    <xf numFmtId="44" fontId="2" fillId="0" borderId="0" xfId="2" applyFont="1" applyFill="1" applyAlignment="1">
      <alignment horizontal="center"/>
    </xf>
    <xf numFmtId="3" fontId="3" fillId="0" borderId="0" xfId="0" applyNumberFormat="1" applyFont="1" applyFill="1" applyAlignment="1">
      <alignment horizontal="right"/>
    </xf>
    <xf numFmtId="180" fontId="12" fillId="0" borderId="0" xfId="0" applyNumberFormat="1" applyFont="1" applyFill="1"/>
    <xf numFmtId="0" fontId="4" fillId="0" borderId="0" xfId="0" applyFont="1" applyFill="1" applyBorder="1"/>
    <xf numFmtId="17" fontId="0" fillId="0" borderId="0" xfId="0" applyNumberFormat="1" applyAlignment="1">
      <alignment horizontal="left"/>
    </xf>
    <xf numFmtId="0" fontId="4" fillId="0" borderId="0" xfId="0" applyFont="1" applyFill="1" applyBorder="1" applyAlignment="1">
      <alignment horizontal="right"/>
    </xf>
    <xf numFmtId="0" fontId="7" fillId="0" borderId="0" xfId="0" applyFont="1" applyFill="1" applyAlignment="1">
      <alignment horizontal="center"/>
    </xf>
    <xf numFmtId="178" fontId="5" fillId="0" borderId="0" xfId="1" applyNumberFormat="1" applyFont="1"/>
    <xf numFmtId="9" fontId="28" fillId="0" borderId="0" xfId="3" applyFont="1" applyFill="1"/>
    <xf numFmtId="17" fontId="12" fillId="0" borderId="0" xfId="0" applyNumberFormat="1" applyFont="1" applyFill="1"/>
    <xf numFmtId="17" fontId="28" fillId="0" borderId="0" xfId="0" applyNumberFormat="1" applyFont="1" applyFill="1"/>
    <xf numFmtId="9" fontId="21" fillId="0" borderId="0" xfId="3" quotePrefix="1" applyFont="1" applyFill="1"/>
    <xf numFmtId="0" fontId="21" fillId="0" borderId="0" xfId="0" applyFont="1" applyFill="1" applyBorder="1"/>
    <xf numFmtId="0" fontId="5" fillId="0" borderId="0" xfId="0" quotePrefix="1" applyFont="1" applyFill="1"/>
    <xf numFmtId="179" fontId="5" fillId="0" borderId="0" xfId="1" applyNumberFormat="1" applyFont="1"/>
    <xf numFmtId="9" fontId="3" fillId="0" borderId="11" xfId="3" applyNumberFormat="1" applyFont="1" applyFill="1" applyBorder="1"/>
    <xf numFmtId="9" fontId="3" fillId="0" borderId="12" xfId="3" applyNumberFormat="1" applyFont="1" applyFill="1" applyBorder="1"/>
    <xf numFmtId="9" fontId="3" fillId="0" borderId="0" xfId="3" applyNumberFormat="1" applyFont="1" applyFill="1"/>
    <xf numFmtId="9" fontId="12" fillId="0" borderId="13" xfId="3" applyNumberFormat="1" applyFont="1" applyFill="1" applyBorder="1"/>
    <xf numFmtId="9" fontId="12" fillId="0" borderId="14" xfId="3" applyNumberFormat="1" applyFont="1" applyFill="1" applyBorder="1"/>
    <xf numFmtId="175" fontId="5" fillId="0" borderId="0" xfId="3" applyNumberFormat="1" applyFont="1" applyFill="1" applyBorder="1"/>
    <xf numFmtId="0" fontId="34" fillId="0" borderId="0" xfId="0" applyFont="1" applyFill="1" applyAlignment="1">
      <alignment horizontal="center" wrapText="1"/>
    </xf>
    <xf numFmtId="180" fontId="3" fillId="0" borderId="0" xfId="0" applyNumberFormat="1" applyFont="1" applyFill="1"/>
    <xf numFmtId="180" fontId="3" fillId="0" borderId="10" xfId="0" applyNumberFormat="1" applyFont="1" applyFill="1" applyBorder="1"/>
    <xf numFmtId="180" fontId="3" fillId="0" borderId="13" xfId="0" applyNumberFormat="1" applyFont="1" applyFill="1" applyBorder="1"/>
    <xf numFmtId="180" fontId="3" fillId="0" borderId="14" xfId="0" applyNumberFormat="1" applyFont="1" applyFill="1" applyBorder="1"/>
    <xf numFmtId="17" fontId="0" fillId="0" borderId="9" xfId="0" applyNumberFormat="1" applyFill="1" applyBorder="1"/>
    <xf numFmtId="3" fontId="5" fillId="0" borderId="15" xfId="0" applyNumberFormat="1" applyFont="1" applyFill="1" applyBorder="1"/>
    <xf numFmtId="3" fontId="12" fillId="0" borderId="15" xfId="0" applyNumberFormat="1" applyFont="1" applyFill="1" applyBorder="1"/>
    <xf numFmtId="3" fontId="12" fillId="0" borderId="10" xfId="0" applyNumberFormat="1" applyFont="1" applyFill="1" applyBorder="1"/>
    <xf numFmtId="17" fontId="0" fillId="0" borderId="11" xfId="0" applyNumberFormat="1" applyFill="1" applyBorder="1"/>
    <xf numFmtId="3" fontId="5" fillId="0" borderId="0" xfId="0" applyNumberFormat="1" applyFont="1" applyFill="1" applyBorder="1"/>
    <xf numFmtId="3" fontId="12" fillId="0" borderId="13" xfId="0" applyNumberFormat="1" applyFont="1" applyFill="1" applyBorder="1"/>
    <xf numFmtId="17" fontId="0" fillId="0" borderId="12" xfId="0" applyNumberFormat="1" applyFill="1" applyBorder="1"/>
    <xf numFmtId="3" fontId="5" fillId="0" borderId="16" xfId="0" applyNumberFormat="1" applyFont="1" applyFill="1" applyBorder="1"/>
    <xf numFmtId="3" fontId="12" fillId="0" borderId="16" xfId="0" applyNumberFormat="1" applyFont="1" applyFill="1" applyBorder="1"/>
    <xf numFmtId="3" fontId="12" fillId="0" borderId="14" xfId="0" applyNumberFormat="1" applyFont="1" applyFill="1" applyBorder="1"/>
    <xf numFmtId="3" fontId="12" fillId="0" borderId="17" xfId="0" applyNumberFormat="1" applyFont="1" applyFill="1" applyBorder="1"/>
    <xf numFmtId="3" fontId="12" fillId="0" borderId="18" xfId="0" applyNumberFormat="1" applyFont="1" applyFill="1" applyBorder="1"/>
    <xf numFmtId="3" fontId="12" fillId="0" borderId="19" xfId="0" applyNumberFormat="1" applyFont="1" applyFill="1" applyBorder="1"/>
    <xf numFmtId="3" fontId="26" fillId="0" borderId="0" xfId="0" applyNumberFormat="1" applyFont="1" applyFill="1"/>
    <xf numFmtId="3" fontId="0" fillId="0" borderId="2" xfId="0" applyNumberFormat="1" applyFill="1" applyBorder="1"/>
    <xf numFmtId="3" fontId="35" fillId="0" borderId="0" xfId="0" applyNumberFormat="1" applyFont="1" applyFill="1"/>
    <xf numFmtId="3" fontId="18" fillId="2" borderId="0" xfId="0" applyNumberFormat="1" applyFont="1" applyFill="1"/>
    <xf numFmtId="10" fontId="12" fillId="0" borderId="0" xfId="3" quotePrefix="1" applyNumberFormat="1" applyFont="1" applyFill="1" applyAlignment="1">
      <alignment horizontal="right"/>
    </xf>
    <xf numFmtId="9" fontId="5" fillId="0" borderId="0" xfId="3" quotePrefix="1" applyFont="1" applyFill="1" applyBorder="1" applyAlignment="1">
      <alignment horizontal="center"/>
    </xf>
    <xf numFmtId="10" fontId="5" fillId="0" borderId="0" xfId="3" quotePrefix="1" applyNumberFormat="1" applyFont="1" applyFill="1" applyBorder="1" applyAlignment="1">
      <alignment horizontal="center"/>
    </xf>
    <xf numFmtId="10" fontId="12" fillId="0" borderId="0" xfId="3" quotePrefix="1" applyNumberFormat="1" applyFont="1" applyFill="1" applyBorder="1" applyAlignment="1">
      <alignment horizontal="right"/>
    </xf>
    <xf numFmtId="9" fontId="12" fillId="0" borderId="0" xfId="3" quotePrefix="1" applyFont="1" applyFill="1" applyBorder="1" applyAlignment="1">
      <alignment horizontal="center"/>
    </xf>
    <xf numFmtId="10" fontId="12" fillId="0" borderId="0" xfId="3" applyNumberFormat="1" applyFont="1" applyFill="1" applyBorder="1"/>
    <xf numFmtId="175" fontId="5" fillId="0" borderId="15" xfId="3" applyNumberFormat="1" applyFont="1" applyFill="1" applyBorder="1"/>
    <xf numFmtId="175" fontId="5" fillId="0" borderId="16" xfId="3" applyNumberFormat="1" applyFont="1" applyFill="1" applyBorder="1"/>
    <xf numFmtId="9" fontId="5" fillId="0" borderId="15" xfId="3" quotePrefix="1" applyFont="1" applyFill="1" applyBorder="1" applyAlignment="1">
      <alignment horizontal="center"/>
    </xf>
    <xf numFmtId="10" fontId="5" fillId="0" borderId="15" xfId="3" quotePrefix="1" applyNumberFormat="1" applyFont="1" applyFill="1" applyBorder="1" applyAlignment="1">
      <alignment horizontal="center"/>
    </xf>
    <xf numFmtId="10" fontId="12" fillId="0" borderId="15" xfId="3" quotePrefix="1" applyNumberFormat="1" applyFont="1" applyFill="1" applyBorder="1" applyAlignment="1">
      <alignment horizontal="right"/>
    </xf>
    <xf numFmtId="9" fontId="12" fillId="0" borderId="15" xfId="3" quotePrefix="1" applyFont="1" applyFill="1" applyBorder="1" applyAlignment="1">
      <alignment horizontal="center"/>
    </xf>
    <xf numFmtId="10" fontId="12" fillId="0" borderId="15" xfId="3" applyNumberFormat="1" applyFont="1" applyFill="1" applyBorder="1"/>
    <xf numFmtId="9" fontId="12" fillId="0" borderId="10" xfId="3" quotePrefix="1" applyFont="1" applyFill="1" applyBorder="1" applyAlignment="1">
      <alignment horizontal="center"/>
    </xf>
    <xf numFmtId="9" fontId="12" fillId="0" borderId="13" xfId="3" quotePrefix="1" applyFont="1" applyFill="1" applyBorder="1" applyAlignment="1">
      <alignment horizontal="center"/>
    </xf>
    <xf numFmtId="9" fontId="5" fillId="0" borderId="16" xfId="3" quotePrefix="1" applyFont="1" applyFill="1" applyBorder="1" applyAlignment="1">
      <alignment horizontal="center"/>
    </xf>
    <xf numFmtId="10" fontId="5" fillId="0" borderId="16" xfId="3" quotePrefix="1" applyNumberFormat="1" applyFont="1" applyFill="1" applyBorder="1" applyAlignment="1">
      <alignment horizontal="center"/>
    </xf>
    <xf numFmtId="10" fontId="12" fillId="0" borderId="16" xfId="3" quotePrefix="1" applyNumberFormat="1" applyFont="1" applyFill="1" applyBorder="1" applyAlignment="1">
      <alignment horizontal="right"/>
    </xf>
    <xf numFmtId="9" fontId="12" fillId="0" borderId="16" xfId="3" quotePrefix="1" applyFont="1" applyFill="1" applyBorder="1" applyAlignment="1">
      <alignment horizontal="center"/>
    </xf>
    <xf numFmtId="10" fontId="12" fillId="0" borderId="16" xfId="3" applyNumberFormat="1" applyFont="1" applyFill="1" applyBorder="1"/>
    <xf numFmtId="9" fontId="12" fillId="0" borderId="14" xfId="3" quotePrefix="1" applyFont="1" applyFill="1" applyBorder="1" applyAlignment="1">
      <alignment horizontal="center"/>
    </xf>
    <xf numFmtId="167" fontId="0" fillId="0" borderId="0" xfId="0" applyNumberFormat="1" applyFill="1" applyBorder="1"/>
    <xf numFmtId="167" fontId="0" fillId="0" borderId="16" xfId="0" applyNumberFormat="1" applyFill="1" applyBorder="1"/>
    <xf numFmtId="180" fontId="5" fillId="0" borderId="15" xfId="0" applyNumberFormat="1" applyFont="1" applyFill="1" applyBorder="1"/>
    <xf numFmtId="180" fontId="12" fillId="0" borderId="15" xfId="0" applyNumberFormat="1" applyFont="1" applyFill="1" applyBorder="1"/>
    <xf numFmtId="180" fontId="12" fillId="0" borderId="10" xfId="0" applyNumberFormat="1" applyFont="1" applyFill="1" applyBorder="1"/>
    <xf numFmtId="180" fontId="5" fillId="0" borderId="0" xfId="0" applyNumberFormat="1" applyFont="1" applyFill="1" applyBorder="1"/>
    <xf numFmtId="180" fontId="12" fillId="0" borderId="0" xfId="0" applyNumberFormat="1" applyFont="1" applyFill="1" applyBorder="1"/>
    <xf numFmtId="180" fontId="12" fillId="0" borderId="13" xfId="0" applyNumberFormat="1" applyFont="1" applyFill="1" applyBorder="1"/>
    <xf numFmtId="180" fontId="5" fillId="0" borderId="16" xfId="0" applyNumberFormat="1" applyFont="1" applyFill="1" applyBorder="1"/>
    <xf numFmtId="180" fontId="12" fillId="0" borderId="16" xfId="0" applyNumberFormat="1" applyFont="1" applyFill="1" applyBorder="1"/>
    <xf numFmtId="180" fontId="12" fillId="0" borderId="14" xfId="0" applyNumberFormat="1" applyFont="1" applyFill="1" applyBorder="1"/>
    <xf numFmtId="10" fontId="12" fillId="0" borderId="10" xfId="3" applyNumberFormat="1" applyFont="1" applyFill="1" applyBorder="1"/>
    <xf numFmtId="10" fontId="12" fillId="0" borderId="13" xfId="3" applyNumberFormat="1" applyFont="1" applyFill="1" applyBorder="1"/>
    <xf numFmtId="10" fontId="12" fillId="0" borderId="14" xfId="3" applyNumberFormat="1" applyFont="1" applyFill="1" applyBorder="1"/>
    <xf numFmtId="0" fontId="36" fillId="0" borderId="0" xfId="0" applyFont="1" applyFill="1"/>
    <xf numFmtId="44" fontId="2" fillId="0" borderId="0" xfId="2" applyFont="1" applyFill="1"/>
    <xf numFmtId="0" fontId="0" fillId="3" borderId="0" xfId="0" applyFill="1"/>
    <xf numFmtId="0" fontId="0" fillId="3" borderId="0" xfId="0" applyFill="1" applyAlignment="1">
      <alignment horizontal="center"/>
    </xf>
    <xf numFmtId="44" fontId="2" fillId="3" borderId="0" xfId="2" applyFill="1"/>
    <xf numFmtId="0" fontId="4" fillId="3" borderId="0" xfId="0" applyFont="1" applyFill="1" applyAlignment="1">
      <alignment horizontal="center"/>
    </xf>
    <xf numFmtId="178" fontId="4" fillId="3" borderId="0" xfId="1" applyNumberFormat="1" applyFont="1" applyFill="1"/>
    <xf numFmtId="166" fontId="0" fillId="3" borderId="0" xfId="0" applyNumberFormat="1" applyFill="1"/>
    <xf numFmtId="0" fontId="4" fillId="3" borderId="0" xfId="0" applyFont="1" applyFill="1"/>
    <xf numFmtId="0" fontId="0" fillId="3" borderId="0" xfId="0" applyFill="1" applyAlignment="1">
      <alignment horizontal="right"/>
    </xf>
    <xf numFmtId="44" fontId="0" fillId="3" borderId="0" xfId="2" quotePrefix="1" applyFont="1" applyFill="1"/>
    <xf numFmtId="169" fontId="0" fillId="3" borderId="0" xfId="3" applyNumberFormat="1" applyFont="1" applyFill="1"/>
    <xf numFmtId="10" fontId="0" fillId="0" borderId="0" xfId="3" applyNumberFormat="1" applyFont="1" applyFill="1"/>
    <xf numFmtId="0" fontId="13" fillId="0" borderId="0" xfId="0" applyFont="1" applyFill="1"/>
    <xf numFmtId="178" fontId="4" fillId="0" borderId="0" xfId="1" applyNumberFormat="1" applyFont="1" applyFill="1"/>
    <xf numFmtId="9" fontId="2" fillId="0" borderId="0" xfId="3" quotePrefix="1" applyFont="1" applyFill="1"/>
    <xf numFmtId="182" fontId="0" fillId="0" borderId="0" xfId="3" applyNumberFormat="1" applyFont="1" applyFill="1"/>
    <xf numFmtId="0" fontId="6" fillId="3" borderId="0" xfId="0" applyFont="1" applyFill="1"/>
    <xf numFmtId="17" fontId="0" fillId="3" borderId="0" xfId="0" applyNumberFormat="1" applyFill="1"/>
    <xf numFmtId="43" fontId="4" fillId="3" borderId="0" xfId="1" quotePrefix="1" applyFont="1" applyFill="1" applyBorder="1"/>
    <xf numFmtId="177" fontId="4" fillId="3" borderId="0" xfId="1" quotePrefix="1" applyNumberFormat="1" applyFont="1" applyFill="1" applyBorder="1"/>
    <xf numFmtId="17" fontId="0" fillId="3" borderId="0" xfId="0" applyNumberFormat="1" applyFill="1" applyAlignment="1">
      <alignment horizontal="right"/>
    </xf>
    <xf numFmtId="43" fontId="3" fillId="3" borderId="0" xfId="1" quotePrefix="1" applyFont="1" applyFill="1" applyBorder="1"/>
    <xf numFmtId="177" fontId="3" fillId="3" borderId="0" xfId="1" quotePrefix="1" applyNumberFormat="1" applyFont="1" applyFill="1" applyBorder="1"/>
    <xf numFmtId="43" fontId="3" fillId="3" borderId="0" xfId="1" quotePrefix="1" applyFont="1" applyFill="1"/>
    <xf numFmtId="177" fontId="3" fillId="3" borderId="0" xfId="1" quotePrefix="1" applyNumberFormat="1" applyFont="1" applyFill="1"/>
    <xf numFmtId="177" fontId="4" fillId="3" borderId="0" xfId="1" quotePrefix="1" applyNumberFormat="1" applyFont="1" applyFill="1"/>
    <xf numFmtId="0" fontId="7" fillId="0" borderId="0" xfId="0" quotePrefix="1" applyFont="1" applyFill="1" applyAlignment="1">
      <alignment horizontal="center"/>
    </xf>
    <xf numFmtId="44" fontId="0" fillId="0" borderId="0" xfId="2" applyFont="1" applyFill="1"/>
    <xf numFmtId="169" fontId="0" fillId="0" borderId="0" xfId="3" applyNumberFormat="1" applyFont="1" applyFill="1"/>
    <xf numFmtId="166" fontId="0" fillId="0" borderId="0" xfId="0" applyNumberFormat="1" applyFill="1" applyAlignment="1">
      <alignment horizontal="right"/>
    </xf>
    <xf numFmtId="168" fontId="0" fillId="0" borderId="0" xfId="3" applyNumberFormat="1" applyFont="1" applyFill="1"/>
    <xf numFmtId="168" fontId="0" fillId="0" borderId="0" xfId="3" quotePrefix="1" applyNumberFormat="1" applyFont="1" applyFill="1"/>
    <xf numFmtId="9" fontId="3" fillId="0" borderId="13" xfId="3" applyNumberFormat="1" applyFont="1" applyFill="1" applyBorder="1"/>
    <xf numFmtId="9" fontId="3" fillId="0" borderId="14" xfId="3" applyNumberFormat="1" applyFont="1" applyFill="1" applyBorder="1"/>
    <xf numFmtId="0" fontId="31" fillId="0" borderId="0" xfId="0" applyFont="1" applyFill="1"/>
    <xf numFmtId="0" fontId="0" fillId="3" borderId="0" xfId="0" applyFill="1" applyAlignment="1">
      <alignment horizontal="left"/>
    </xf>
    <xf numFmtId="44" fontId="2" fillId="3" borderId="0" xfId="2" quotePrefix="1" applyFont="1" applyFill="1" applyAlignment="1">
      <alignment horizontal="left"/>
    </xf>
    <xf numFmtId="183" fontId="5" fillId="0" borderId="0" xfId="0" applyNumberFormat="1" applyFont="1" applyFill="1"/>
    <xf numFmtId="183" fontId="0" fillId="0" borderId="0" xfId="0" applyNumberFormat="1" applyFill="1"/>
    <xf numFmtId="2" fontId="0" fillId="0" borderId="0" xfId="0" applyNumberFormat="1" applyFill="1"/>
    <xf numFmtId="176" fontId="3" fillId="0" borderId="0" xfId="1" applyNumberFormat="1" applyFont="1" applyFill="1" applyAlignment="1">
      <alignment horizontal="center"/>
    </xf>
    <xf numFmtId="176" fontId="4" fillId="0" borderId="0" xfId="1" applyNumberFormat="1" applyFont="1" applyFill="1" applyAlignment="1">
      <alignment horizontal="center"/>
    </xf>
    <xf numFmtId="176" fontId="4" fillId="0" borderId="0" xfId="1" applyNumberFormat="1" applyFont="1" applyFill="1"/>
    <xf numFmtId="0" fontId="21" fillId="0" borderId="0" xfId="0" applyFont="1" applyFill="1"/>
    <xf numFmtId="0" fontId="21" fillId="0" borderId="0" xfId="0" applyFont="1" applyFill="1" applyAlignment="1">
      <alignment horizontal="left"/>
    </xf>
    <xf numFmtId="169" fontId="0" fillId="0" borderId="0" xfId="0" applyNumberFormat="1" applyFill="1"/>
    <xf numFmtId="176" fontId="10" fillId="0" borderId="0" xfId="1" applyNumberFormat="1" applyFont="1" applyFill="1"/>
    <xf numFmtId="0" fontId="4" fillId="0" borderId="16" xfId="0" applyFont="1" applyFill="1" applyBorder="1" applyAlignment="1">
      <alignment horizontal="center"/>
    </xf>
    <xf numFmtId="0" fontId="0" fillId="0" borderId="16" xfId="0" applyFill="1" applyBorder="1" applyAlignment="1">
      <alignment horizontal="left"/>
    </xf>
    <xf numFmtId="0" fontId="0" fillId="0" borderId="16" xfId="0" applyFill="1" applyBorder="1" applyAlignment="1">
      <alignment horizontal="center"/>
    </xf>
    <xf numFmtId="169" fontId="0" fillId="0" borderId="20" xfId="3" applyNumberFormat="1" applyFont="1" applyFill="1" applyBorder="1"/>
    <xf numFmtId="175" fontId="0" fillId="0" borderId="0" xfId="3" applyNumberFormat="1" applyFont="1" applyFill="1"/>
    <xf numFmtId="14" fontId="0" fillId="0" borderId="0" xfId="0" applyNumberFormat="1" applyFill="1"/>
    <xf numFmtId="1" fontId="0" fillId="0" borderId="0" xfId="0" applyNumberFormat="1" applyFill="1"/>
    <xf numFmtId="10" fontId="40" fillId="0" borderId="0" xfId="3" applyNumberFormat="1" applyFont="1" applyFill="1" applyAlignment="1">
      <alignment horizontal="center"/>
    </xf>
    <xf numFmtId="9" fontId="22" fillId="4" borderId="0" xfId="3" applyFont="1" applyFill="1"/>
    <xf numFmtId="3" fontId="18" fillId="4" borderId="0" xfId="0" applyNumberFormat="1" applyFont="1" applyFill="1"/>
    <xf numFmtId="3" fontId="23" fillId="4" borderId="0" xfId="0" applyNumberFormat="1" applyFont="1" applyFill="1"/>
    <xf numFmtId="3" fontId="30" fillId="4" borderId="0" xfId="0" applyNumberFormat="1" applyFont="1" applyFill="1"/>
    <xf numFmtId="3" fontId="24" fillId="5" borderId="0" xfId="0" applyNumberFormat="1" applyFont="1" applyFill="1"/>
    <xf numFmtId="9" fontId="27" fillId="5" borderId="0" xfId="3" applyFont="1" applyFill="1" applyAlignment="1">
      <alignment horizontal="right"/>
    </xf>
    <xf numFmtId="0" fontId="4" fillId="0" borderId="0" xfId="0" applyFont="1" applyFill="1" applyAlignment="1">
      <alignment horizontal="left"/>
    </xf>
    <xf numFmtId="3" fontId="41" fillId="0" borderId="0" xfId="0" applyNumberFormat="1" applyFont="1" applyFill="1"/>
    <xf numFmtId="0" fontId="41" fillId="0" borderId="0" xfId="0" applyFont="1" applyFill="1"/>
    <xf numFmtId="169" fontId="21" fillId="4" borderId="0" xfId="0" applyNumberFormat="1" applyFont="1" applyFill="1"/>
    <xf numFmtId="0" fontId="0" fillId="0" borderId="0" xfId="0" applyAlignment="1">
      <alignment horizontal="right"/>
    </xf>
    <xf numFmtId="0" fontId="3" fillId="0" borderId="0" xfId="0" quotePrefix="1" applyFont="1" applyFill="1"/>
    <xf numFmtId="44" fontId="2" fillId="0" borderId="0" xfId="2" quotePrefix="1" applyNumberFormat="1" applyFont="1" applyFill="1"/>
    <xf numFmtId="44" fontId="2" fillId="0" borderId="0" xfId="2" applyNumberFormat="1" applyFill="1"/>
    <xf numFmtId="181" fontId="5" fillId="0" borderId="0" xfId="1" applyNumberFormat="1" applyFont="1"/>
    <xf numFmtId="3" fontId="23" fillId="4" borderId="0" xfId="0" applyNumberFormat="1" applyFont="1" applyFill="1" applyAlignment="1">
      <alignment horizontal="center"/>
    </xf>
    <xf numFmtId="3" fontId="3" fillId="5" borderId="0" xfId="0" applyNumberFormat="1" applyFont="1" applyFill="1"/>
    <xf numFmtId="3" fontId="10" fillId="5" borderId="0" xfId="0" applyNumberFormat="1" applyFont="1" applyFill="1"/>
    <xf numFmtId="1" fontId="40" fillId="0" borderId="0" xfId="3" applyNumberFormat="1" applyFont="1" applyFill="1" applyAlignment="1">
      <alignment horizontal="center"/>
    </xf>
    <xf numFmtId="165" fontId="0" fillId="0" borderId="0" xfId="0" applyNumberFormat="1" applyFill="1"/>
    <xf numFmtId="44" fontId="2" fillId="0" borderId="0" xfId="2" applyNumberFormat="1"/>
    <xf numFmtId="3" fontId="25" fillId="5" borderId="0" xfId="0" applyNumberFormat="1" applyFont="1" applyFill="1"/>
    <xf numFmtId="17" fontId="45" fillId="0" borderId="0" xfId="0" applyNumberFormat="1" applyFont="1" applyFill="1"/>
    <xf numFmtId="3" fontId="46" fillId="4" borderId="0" xfId="0" applyNumberFormat="1" applyFont="1" applyFill="1"/>
    <xf numFmtId="164" fontId="0" fillId="0" borderId="0" xfId="0" applyNumberFormat="1" applyFill="1"/>
    <xf numFmtId="3" fontId="37" fillId="4" borderId="0" xfId="0" applyNumberFormat="1" applyFont="1" applyFill="1"/>
    <xf numFmtId="3" fontId="3" fillId="2" borderId="0" xfId="0" applyNumberFormat="1" applyFont="1" applyFill="1"/>
    <xf numFmtId="3" fontId="42" fillId="4" borderId="0" xfId="0" applyNumberFormat="1" applyFont="1" applyFill="1"/>
    <xf numFmtId="3" fontId="45" fillId="0" borderId="0" xfId="0" applyNumberFormat="1" applyFont="1" applyFill="1"/>
    <xf numFmtId="176" fontId="45" fillId="0" borderId="0" xfId="1" applyNumberFormat="1" applyFont="1" applyFill="1"/>
    <xf numFmtId="167" fontId="5" fillId="0" borderId="0" xfId="0" applyNumberFormat="1" applyFont="1" applyFill="1"/>
    <xf numFmtId="167" fontId="5" fillId="0" borderId="15" xfId="0" applyNumberFormat="1" applyFont="1" applyFill="1" applyBorder="1"/>
    <xf numFmtId="22" fontId="0" fillId="0" borderId="0" xfId="0" applyNumberFormat="1" applyAlignment="1">
      <alignment horizontal="center"/>
    </xf>
    <xf numFmtId="0" fontId="4" fillId="0" borderId="0" xfId="0" applyFont="1" applyAlignment="1">
      <alignment horizontal="right"/>
    </xf>
    <xf numFmtId="22" fontId="0" fillId="0" borderId="0" xfId="0" applyNumberFormat="1"/>
    <xf numFmtId="22" fontId="4" fillId="0" borderId="0" xfId="0" applyNumberFormat="1" applyFont="1" applyAlignment="1">
      <alignment horizontal="center"/>
    </xf>
    <xf numFmtId="0" fontId="0" fillId="0" borderId="0" xfId="0" applyBorder="1"/>
    <xf numFmtId="2" fontId="0" fillId="0" borderId="0" xfId="0" applyNumberFormat="1"/>
    <xf numFmtId="0" fontId="49" fillId="0" borderId="0" xfId="0" applyFont="1"/>
    <xf numFmtId="0" fontId="7" fillId="0" borderId="0" xfId="0" applyFont="1" applyAlignment="1">
      <alignment horizontal="right"/>
    </xf>
    <xf numFmtId="0" fontId="51" fillId="0" borderId="0" xfId="0" applyFont="1" applyFill="1" applyBorder="1" applyAlignment="1">
      <alignment horizontal="center"/>
    </xf>
    <xf numFmtId="184" fontId="0" fillId="0" borderId="0" xfId="0" applyNumberFormat="1" applyAlignment="1">
      <alignment horizontal="right"/>
    </xf>
    <xf numFmtId="184" fontId="0" fillId="0" borderId="0" xfId="0" applyNumberFormat="1"/>
    <xf numFmtId="184" fontId="0" fillId="0" borderId="0" xfId="0" applyNumberFormat="1" applyAlignment="1">
      <alignment horizontal="center"/>
    </xf>
    <xf numFmtId="0" fontId="49" fillId="0" borderId="0" xfId="0" applyFont="1" applyAlignment="1">
      <alignment horizontal="right"/>
    </xf>
    <xf numFmtId="0" fontId="0" fillId="0" borderId="21" xfId="0" applyBorder="1" applyAlignment="1">
      <alignment horizontal="center"/>
    </xf>
    <xf numFmtId="0" fontId="3" fillId="0" borderId="14" xfId="0" applyFont="1" applyBorder="1" applyAlignment="1">
      <alignment horizontal="center"/>
    </xf>
    <xf numFmtId="0" fontId="49" fillId="0" borderId="9" xfId="0" applyFont="1" applyBorder="1"/>
    <xf numFmtId="0" fontId="49" fillId="0" borderId="10" xfId="0" applyFont="1" applyBorder="1"/>
    <xf numFmtId="0" fontId="0" fillId="0" borderId="21" xfId="0" applyBorder="1"/>
    <xf numFmtId="2" fontId="0" fillId="0" borderId="21" xfId="0" applyNumberFormat="1" applyBorder="1" applyAlignment="1">
      <alignment horizontal="center"/>
    </xf>
    <xf numFmtId="184" fontId="0" fillId="0" borderId="21" xfId="0" applyNumberFormat="1" applyBorder="1" applyAlignment="1">
      <alignment horizontal="center"/>
    </xf>
    <xf numFmtId="184" fontId="5" fillId="0" borderId="21" xfId="0" applyNumberFormat="1" applyFont="1" applyBorder="1" applyAlignment="1">
      <alignment horizontal="center"/>
    </xf>
    <xf numFmtId="0" fontId="52" fillId="0" borderId="11" xfId="0" applyFont="1" applyBorder="1"/>
    <xf numFmtId="0" fontId="52" fillId="0" borderId="13" xfId="0" applyFont="1" applyBorder="1"/>
    <xf numFmtId="184" fontId="53" fillId="0" borderId="11" xfId="0" applyNumberFormat="1" applyFont="1" applyBorder="1"/>
    <xf numFmtId="184" fontId="53" fillId="0" borderId="13" xfId="0" applyNumberFormat="1" applyFont="1" applyBorder="1"/>
    <xf numFmtId="0" fontId="53" fillId="0" borderId="13" xfId="0" applyFont="1" applyBorder="1"/>
    <xf numFmtId="172" fontId="52" fillId="0" borderId="11" xfId="0" applyNumberFormat="1" applyFont="1" applyBorder="1"/>
    <xf numFmtId="0" fontId="53" fillId="0" borderId="11" xfId="0" applyFont="1" applyBorder="1"/>
    <xf numFmtId="0" fontId="52" fillId="0" borderId="12" xfId="0" applyFont="1" applyBorder="1"/>
    <xf numFmtId="0" fontId="52" fillId="0" borderId="14" xfId="0" applyFont="1" applyBorder="1"/>
    <xf numFmtId="184" fontId="53" fillId="0" borderId="12" xfId="0" applyNumberFormat="1" applyFont="1" applyBorder="1"/>
    <xf numFmtId="184" fontId="53" fillId="0" borderId="14" xfId="0" applyNumberFormat="1" applyFont="1" applyBorder="1"/>
    <xf numFmtId="0" fontId="53" fillId="0" borderId="0" xfId="0" applyFont="1"/>
    <xf numFmtId="0" fontId="17" fillId="0" borderId="0" xfId="0" quotePrefix="1" applyFont="1"/>
    <xf numFmtId="0" fontId="17" fillId="0" borderId="0" xfId="0" applyFont="1"/>
    <xf numFmtId="0" fontId="55" fillId="0" borderId="0" xfId="0" applyFont="1"/>
    <xf numFmtId="184" fontId="4" fillId="0" borderId="0" xfId="0" applyNumberFormat="1" applyFont="1" applyAlignment="1">
      <alignment horizontal="right"/>
    </xf>
    <xf numFmtId="185" fontId="0" fillId="0" borderId="21" xfId="0" applyNumberFormat="1" applyBorder="1" applyAlignment="1">
      <alignment horizontal="right"/>
    </xf>
    <xf numFmtId="184" fontId="3" fillId="0" borderId="21" xfId="0" applyNumberFormat="1" applyFont="1" applyBorder="1" applyAlignment="1">
      <alignment horizontal="center"/>
    </xf>
    <xf numFmtId="3" fontId="0" fillId="0" borderId="0" xfId="0" applyNumberFormat="1" applyBorder="1" applyAlignment="1">
      <alignment horizontal="right"/>
    </xf>
    <xf numFmtId="184" fontId="0" fillId="0" borderId="0" xfId="0" applyNumberFormat="1" applyBorder="1" applyAlignment="1">
      <alignment horizontal="center"/>
    </xf>
    <xf numFmtId="185" fontId="0" fillId="0" borderId="0" xfId="0" applyNumberFormat="1" applyBorder="1" applyAlignment="1">
      <alignment horizontal="right"/>
    </xf>
    <xf numFmtId="185" fontId="0" fillId="0" borderId="0" xfId="0" applyNumberFormat="1" applyBorder="1" applyAlignment="1">
      <alignment horizontal="center"/>
    </xf>
    <xf numFmtId="184" fontId="4" fillId="0" borderId="0" xfId="0" applyNumberFormat="1" applyFont="1" applyBorder="1" applyAlignment="1">
      <alignment horizontal="right"/>
    </xf>
    <xf numFmtId="0" fontId="6" fillId="0" borderId="0" xfId="0" applyFont="1" applyFill="1" applyBorder="1"/>
    <xf numFmtId="0" fontId="9" fillId="0" borderId="0" xfId="0" applyFont="1" applyFill="1" applyBorder="1" applyAlignment="1">
      <alignment horizontal="right"/>
    </xf>
    <xf numFmtId="185" fontId="0" fillId="0" borderId="0" xfId="0" applyNumberFormat="1" applyFill="1" applyBorder="1" applyAlignment="1">
      <alignment horizontal="center"/>
    </xf>
    <xf numFmtId="0" fontId="4" fillId="0" borderId="0" xfId="0" applyFont="1" applyBorder="1"/>
    <xf numFmtId="185" fontId="0" fillId="0" borderId="0" xfId="0" applyNumberFormat="1"/>
    <xf numFmtId="184" fontId="4" fillId="0" borderId="0" xfId="0" applyNumberFormat="1" applyFont="1" applyBorder="1" applyAlignment="1">
      <alignment horizontal="center"/>
    </xf>
    <xf numFmtId="0" fontId="4" fillId="0" borderId="0" xfId="0" applyFont="1" applyBorder="1" applyAlignment="1">
      <alignment horizontal="right"/>
    </xf>
    <xf numFmtId="186" fontId="4" fillId="0" borderId="0" xfId="0" applyNumberFormat="1" applyFont="1" applyBorder="1" applyAlignment="1">
      <alignment horizontal="right"/>
    </xf>
    <xf numFmtId="187" fontId="0" fillId="0" borderId="0" xfId="0" applyNumberFormat="1"/>
    <xf numFmtId="166" fontId="21" fillId="0" borderId="0" xfId="0" applyNumberFormat="1" applyFont="1"/>
    <xf numFmtId="186" fontId="0" fillId="0" borderId="0" xfId="0" applyNumberFormat="1"/>
    <xf numFmtId="0" fontId="56" fillId="5" borderId="0" xfId="0" applyFont="1" applyFill="1"/>
    <xf numFmtId="0" fontId="57" fillId="5" borderId="0" xfId="0" applyFont="1" applyFill="1"/>
    <xf numFmtId="186" fontId="0" fillId="0" borderId="0" xfId="0" applyNumberFormat="1" applyBorder="1" applyAlignment="1">
      <alignment horizontal="right"/>
    </xf>
    <xf numFmtId="0" fontId="58" fillId="0" borderId="0" xfId="0" applyFont="1"/>
    <xf numFmtId="176" fontId="0" fillId="0" borderId="0" xfId="1" applyNumberFormat="1" applyFont="1"/>
    <xf numFmtId="9" fontId="0" fillId="0" borderId="0" xfId="0" applyNumberFormat="1"/>
    <xf numFmtId="9" fontId="58" fillId="0" borderId="0" xfId="3" applyFont="1"/>
    <xf numFmtId="9" fontId="0" fillId="0" borderId="0" xfId="3" applyFont="1"/>
    <xf numFmtId="165" fontId="3" fillId="0" borderId="21" xfId="0" applyNumberFormat="1" applyFont="1" applyFill="1" applyBorder="1" applyAlignment="1">
      <alignment horizontal="center"/>
    </xf>
    <xf numFmtId="2" fontId="3" fillId="0" borderId="21" xfId="0" applyNumberFormat="1" applyFont="1" applyBorder="1" applyAlignment="1">
      <alignment horizontal="center"/>
    </xf>
    <xf numFmtId="3" fontId="3" fillId="0" borderId="21" xfId="0" applyNumberFormat="1" applyFont="1" applyBorder="1" applyAlignment="1">
      <alignment horizontal="right"/>
    </xf>
    <xf numFmtId="184" fontId="0" fillId="0" borderId="0" xfId="0" applyNumberFormat="1" applyFill="1" applyBorder="1" applyAlignment="1">
      <alignment horizontal="center"/>
    </xf>
    <xf numFmtId="184" fontId="6" fillId="0" borderId="0" xfId="0" applyNumberFormat="1" applyFont="1" applyFill="1" applyBorder="1" applyAlignment="1">
      <alignment horizontal="center"/>
    </xf>
    <xf numFmtId="184" fontId="9" fillId="0" borderId="0" xfId="0" applyNumberFormat="1" applyFont="1" applyFill="1" applyBorder="1" applyAlignment="1">
      <alignment horizontal="right"/>
    </xf>
    <xf numFmtId="184" fontId="0" fillId="0" borderId="0" xfId="0" applyNumberFormat="1" applyFill="1" applyBorder="1" applyAlignment="1">
      <alignment horizontal="left"/>
    </xf>
    <xf numFmtId="184" fontId="4" fillId="0" borderId="0" xfId="0" applyNumberFormat="1" applyFont="1" applyFill="1" applyBorder="1" applyAlignment="1">
      <alignment horizontal="right"/>
    </xf>
    <xf numFmtId="10" fontId="5" fillId="0" borderId="0" xfId="3" applyNumberFormat="1" applyFont="1" applyFill="1"/>
    <xf numFmtId="10" fontId="5" fillId="0" borderId="15" xfId="3" applyNumberFormat="1" applyFont="1" applyFill="1" applyBorder="1"/>
    <xf numFmtId="10" fontId="5" fillId="0" borderId="10" xfId="3" applyNumberFormat="1" applyFont="1" applyFill="1" applyBorder="1"/>
    <xf numFmtId="10" fontId="5" fillId="0" borderId="0" xfId="3" applyNumberFormat="1" applyFont="1" applyFill="1" applyBorder="1"/>
    <xf numFmtId="10" fontId="5" fillId="0" borderId="13" xfId="3" applyNumberFormat="1" applyFont="1" applyFill="1" applyBorder="1"/>
    <xf numFmtId="10" fontId="5" fillId="0" borderId="16" xfId="3" applyNumberFormat="1" applyFont="1" applyFill="1" applyBorder="1"/>
    <xf numFmtId="10" fontId="5" fillId="0" borderId="14" xfId="3" applyNumberFormat="1" applyFont="1" applyFill="1" applyBorder="1"/>
    <xf numFmtId="0" fontId="2" fillId="0" borderId="0" xfId="0" applyFont="1" applyFill="1"/>
    <xf numFmtId="3" fontId="2" fillId="0" borderId="0" xfId="0" applyNumberFormat="1" applyFont="1" applyFill="1"/>
    <xf numFmtId="4" fontId="5" fillId="0" borderId="9" xfId="0" applyNumberFormat="1" applyFont="1" applyFill="1" applyBorder="1"/>
    <xf numFmtId="4" fontId="5" fillId="0" borderId="11" xfId="0" applyNumberFormat="1" applyFont="1" applyFill="1" applyBorder="1"/>
    <xf numFmtId="4" fontId="5" fillId="0" borderId="12" xfId="0" applyNumberFormat="1" applyFont="1" applyFill="1" applyBorder="1"/>
    <xf numFmtId="44" fontId="2" fillId="0" borderId="0" xfId="2" applyNumberFormat="1" applyFont="1" applyFill="1"/>
    <xf numFmtId="0" fontId="2" fillId="0" borderId="0" xfId="0" applyFont="1" applyFill="1" applyAlignment="1">
      <alignment horizontal="left"/>
    </xf>
    <xf numFmtId="0" fontId="2" fillId="0" borderId="0" xfId="0" applyFont="1" applyFill="1" applyAlignment="1">
      <alignment horizontal="right"/>
    </xf>
    <xf numFmtId="188" fontId="0" fillId="0" borderId="0" xfId="0" applyNumberFormat="1" applyFill="1"/>
    <xf numFmtId="172" fontId="0" fillId="0" borderId="0" xfId="0" applyNumberFormat="1" applyFill="1"/>
    <xf numFmtId="185" fontId="0" fillId="0" borderId="0" xfId="0" applyNumberFormat="1" applyFill="1"/>
    <xf numFmtId="185" fontId="0" fillId="0" borderId="0" xfId="0" applyNumberFormat="1" applyFill="1" applyAlignment="1">
      <alignment horizontal="center"/>
    </xf>
    <xf numFmtId="9" fontId="0" fillId="0" borderId="0" xfId="3" applyFont="1" applyFill="1"/>
    <xf numFmtId="9" fontId="59" fillId="0" borderId="0" xfId="3" applyFont="1" applyFill="1"/>
    <xf numFmtId="0" fontId="60" fillId="0" borderId="0" xfId="0" applyFont="1" applyFill="1" applyAlignment="1">
      <alignment horizontal="right"/>
    </xf>
    <xf numFmtId="3" fontId="60" fillId="0" borderId="0" xfId="0" applyNumberFormat="1" applyFont="1" applyFill="1"/>
    <xf numFmtId="187" fontId="0" fillId="0" borderId="0" xfId="0" applyNumberFormat="1" applyFill="1"/>
    <xf numFmtId="7" fontId="0" fillId="0" borderId="0" xfId="0" applyNumberFormat="1" applyFill="1"/>
    <xf numFmtId="44" fontId="3" fillId="7" borderId="0" xfId="2" quotePrefix="1" applyFont="1" applyFill="1"/>
    <xf numFmtId="44" fontId="3" fillId="7" borderId="0" xfId="2" quotePrefix="1" applyNumberFormat="1" applyFont="1" applyFill="1"/>
    <xf numFmtId="0" fontId="2" fillId="0" borderId="0" xfId="0" applyFont="1" applyFill="1" applyBorder="1"/>
    <xf numFmtId="167" fontId="0" fillId="0" borderId="0" xfId="0" applyNumberFormat="1" applyFill="1" applyBorder="1" applyAlignment="1">
      <alignment horizontal="right"/>
    </xf>
    <xf numFmtId="167" fontId="3" fillId="0" borderId="0" xfId="2" quotePrefix="1" applyNumberFormat="1" applyFont="1" applyFill="1" applyBorder="1"/>
    <xf numFmtId="44" fontId="3" fillId="0" borderId="0" xfId="2" quotePrefix="1" applyNumberFormat="1" applyFont="1" applyFill="1" applyBorder="1"/>
    <xf numFmtId="167" fontId="2" fillId="0" borderId="0" xfId="0" applyNumberFormat="1" applyFont="1" applyFill="1" applyBorder="1"/>
    <xf numFmtId="177" fontId="4" fillId="7" borderId="0" xfId="1" quotePrefix="1" applyNumberFormat="1" applyFont="1" applyFill="1" applyBorder="1"/>
    <xf numFmtId="188" fontId="61" fillId="0" borderId="0" xfId="0" applyNumberFormat="1" applyFont="1" applyFill="1"/>
    <xf numFmtId="185" fontId="0" fillId="0" borderId="20" xfId="0" applyNumberFormat="1" applyFill="1" applyBorder="1"/>
    <xf numFmtId="189" fontId="0" fillId="0" borderId="0" xfId="1" applyNumberFormat="1" applyFont="1" applyFill="1"/>
    <xf numFmtId="176" fontId="0" fillId="0" borderId="0" xfId="1" applyNumberFormat="1" applyFont="1" applyFill="1"/>
    <xf numFmtId="0" fontId="60" fillId="0" borderId="0" xfId="0" applyFont="1" applyFill="1"/>
    <xf numFmtId="185" fontId="62" fillId="0" borderId="0" xfId="0" applyNumberFormat="1" applyFont="1" applyFill="1"/>
    <xf numFmtId="0" fontId="62" fillId="0" borderId="0" xfId="0" applyFont="1" applyFill="1"/>
    <xf numFmtId="0" fontId="2" fillId="0" borderId="0" xfId="0" applyFont="1" applyFill="1" applyBorder="1" applyAlignment="1">
      <alignment horizontal="right"/>
    </xf>
    <xf numFmtId="0" fontId="7" fillId="0" borderId="0" xfId="0" applyFont="1" applyFill="1" applyAlignment="1">
      <alignment horizontal="center"/>
    </xf>
    <xf numFmtId="0" fontId="2" fillId="0" borderId="0" xfId="0" quotePrefix="1" applyFont="1" applyFill="1"/>
    <xf numFmtId="175" fontId="0" fillId="0" borderId="0" xfId="0" applyNumberFormat="1" applyFill="1"/>
    <xf numFmtId="165" fontId="60" fillId="8" borderId="22" xfId="0" applyNumberFormat="1" applyFont="1" applyFill="1" applyBorder="1"/>
    <xf numFmtId="165" fontId="60" fillId="8" borderId="23" xfId="0" applyNumberFormat="1" applyFont="1" applyFill="1" applyBorder="1"/>
    <xf numFmtId="165" fontId="60" fillId="8" borderId="24" xfId="0" applyNumberFormat="1" applyFont="1" applyFill="1" applyBorder="1"/>
    <xf numFmtId="0" fontId="2" fillId="0" borderId="0" xfId="0" quotePrefix="1" applyFont="1" applyFill="1" applyBorder="1"/>
    <xf numFmtId="10" fontId="4" fillId="0" borderId="0" xfId="3" applyNumberFormat="1" applyFont="1" applyFill="1"/>
    <xf numFmtId="10" fontId="4" fillId="0" borderId="0" xfId="3" applyNumberFormat="1" applyFont="1" applyFill="1" applyAlignment="1">
      <alignment horizontal="right"/>
    </xf>
    <xf numFmtId="0" fontId="4" fillId="0" borderId="0" xfId="0" applyFont="1" applyFill="1" applyAlignment="1">
      <alignment horizontal="right"/>
    </xf>
    <xf numFmtId="185" fontId="4" fillId="0" borderId="20" xfId="0" applyNumberFormat="1" applyFont="1" applyFill="1" applyBorder="1"/>
    <xf numFmtId="10" fontId="63" fillId="0" borderId="0" xfId="3" quotePrefix="1" applyNumberFormat="1" applyFont="1" applyFill="1"/>
    <xf numFmtId="44" fontId="63" fillId="0" borderId="0" xfId="2" quotePrefix="1" applyFont="1" applyFill="1"/>
    <xf numFmtId="0" fontId="63" fillId="0" borderId="0" xfId="0" applyFont="1" applyFill="1"/>
    <xf numFmtId="0" fontId="7" fillId="0" borderId="0" xfId="0" applyFont="1" applyFill="1" applyAlignment="1">
      <alignment horizontal="center"/>
    </xf>
    <xf numFmtId="0" fontId="64" fillId="0" borderId="0" xfId="0" quotePrefix="1" applyFont="1" applyFill="1"/>
    <xf numFmtId="10" fontId="64" fillId="0" borderId="0" xfId="3" applyNumberFormat="1" applyFont="1" applyFill="1"/>
    <xf numFmtId="167" fontId="4" fillId="0" borderId="0" xfId="0" applyNumberFormat="1" applyFont="1"/>
    <xf numFmtId="44" fontId="59" fillId="0" borderId="0" xfId="2" quotePrefix="1" applyFont="1" applyFill="1"/>
    <xf numFmtId="0" fontId="7" fillId="0" borderId="0" xfId="0" applyFont="1" applyFill="1" applyAlignment="1">
      <alignment horizontal="center"/>
    </xf>
    <xf numFmtId="0" fontId="4" fillId="0" borderId="0" xfId="0" applyFont="1" applyAlignment="1">
      <alignment horizontal="center"/>
    </xf>
    <xf numFmtId="0" fontId="5" fillId="6" borderId="0" xfId="0" applyFont="1" applyFill="1"/>
    <xf numFmtId="3" fontId="5" fillId="6" borderId="0" xfId="0" applyNumberFormat="1" applyFont="1" applyFill="1"/>
    <xf numFmtId="0" fontId="0" fillId="6" borderId="0" xfId="0" applyFill="1"/>
    <xf numFmtId="17" fontId="5" fillId="6" borderId="0" xfId="0" applyNumberFormat="1" applyFont="1" applyFill="1"/>
    <xf numFmtId="0" fontId="7" fillId="0" borderId="0" xfId="0" applyFont="1" applyFill="1" applyAlignment="1">
      <alignment horizontal="center"/>
    </xf>
    <xf numFmtId="8" fontId="2" fillId="0" borderId="0" xfId="2" applyNumberFormat="1" applyFont="1" applyFill="1"/>
    <xf numFmtId="0" fontId="59" fillId="0" borderId="0" xfId="0" applyFont="1" applyFill="1"/>
    <xf numFmtId="8" fontId="59" fillId="0" borderId="0" xfId="0" applyNumberFormat="1" applyFont="1" applyFill="1"/>
    <xf numFmtId="187" fontId="65" fillId="0" borderId="0" xfId="0" applyNumberFormat="1" applyFont="1" applyFill="1"/>
    <xf numFmtId="164" fontId="0" fillId="0" borderId="0" xfId="0" applyNumberFormat="1" applyFill="1" applyBorder="1"/>
    <xf numFmtId="176" fontId="59" fillId="0" borderId="0" xfId="1" applyNumberFormat="1" applyFont="1" applyFill="1" applyBorder="1"/>
    <xf numFmtId="0" fontId="2" fillId="0" borderId="0" xfId="0" applyFont="1" applyFill="1" applyBorder="1" applyAlignment="1">
      <alignment horizontal="left"/>
    </xf>
    <xf numFmtId="3" fontId="59" fillId="0" borderId="0" xfId="0" applyNumberFormat="1" applyFont="1" applyFill="1" applyBorder="1"/>
    <xf numFmtId="176" fontId="0" fillId="0" borderId="0" xfId="0" applyNumberFormat="1" applyFill="1" applyBorder="1"/>
    <xf numFmtId="175" fontId="0" fillId="0" borderId="0" xfId="3" applyNumberFormat="1" applyFont="1" applyFill="1" applyBorder="1"/>
    <xf numFmtId="185" fontId="59" fillId="0" borderId="0" xfId="0" applyNumberFormat="1" applyFont="1" applyFill="1" applyBorder="1"/>
    <xf numFmtId="185" fontId="0" fillId="0" borderId="0" xfId="0" applyNumberFormat="1" applyFill="1" applyBorder="1"/>
    <xf numFmtId="9" fontId="0" fillId="0" borderId="0" xfId="3" applyNumberFormat="1" applyFont="1" applyFill="1" applyBorder="1"/>
    <xf numFmtId="9" fontId="0" fillId="0" borderId="0" xfId="3" applyFont="1" applyFill="1" applyBorder="1"/>
    <xf numFmtId="0" fontId="60" fillId="0" borderId="0" xfId="0" applyFont="1" applyFill="1" applyBorder="1"/>
    <xf numFmtId="2" fontId="60" fillId="0" borderId="0" xfId="0" applyNumberFormat="1" applyFont="1" applyFill="1" applyBorder="1"/>
    <xf numFmtId="187" fontId="59" fillId="0" borderId="0" xfId="0" applyNumberFormat="1" applyFont="1" applyFill="1" applyBorder="1"/>
    <xf numFmtId="10" fontId="0" fillId="0" borderId="0" xfId="3" applyNumberFormat="1" applyFont="1" applyFill="1" applyBorder="1"/>
    <xf numFmtId="10" fontId="0" fillId="0" borderId="0" xfId="0" applyNumberFormat="1" applyFill="1" applyBorder="1"/>
    <xf numFmtId="175" fontId="0" fillId="0" borderId="0" xfId="0" applyNumberFormat="1" applyFill="1" applyBorder="1"/>
    <xf numFmtId="175" fontId="59" fillId="0" borderId="0" xfId="3" applyNumberFormat="1" applyFont="1" applyFill="1" applyBorder="1"/>
    <xf numFmtId="2" fontId="0" fillId="0" borderId="0" xfId="0" applyNumberFormat="1" applyFill="1" applyBorder="1"/>
    <xf numFmtId="0" fontId="64" fillId="0" borderId="0" xfId="0" applyFont="1" applyFill="1" applyBorder="1"/>
    <xf numFmtId="175" fontId="4" fillId="0" borderId="0" xfId="3" applyNumberFormat="1" applyFont="1" applyFill="1" applyBorder="1" applyAlignment="1" applyProtection="1">
      <alignment horizontal="right"/>
    </xf>
    <xf numFmtId="44" fontId="0" fillId="0" borderId="0" xfId="2" applyFont="1" applyFill="1" applyBorder="1"/>
    <xf numFmtId="0" fontId="0" fillId="0" borderId="0" xfId="0" quotePrefix="1" applyFill="1" applyBorder="1"/>
    <xf numFmtId="175" fontId="4" fillId="0" borderId="0" xfId="3" applyNumberFormat="1" applyFont="1" applyFill="1" applyBorder="1"/>
    <xf numFmtId="0" fontId="59" fillId="0" borderId="0" xfId="0" quotePrefix="1" applyFont="1" applyFill="1" applyAlignment="1">
      <alignment wrapText="1"/>
    </xf>
    <xf numFmtId="0" fontId="59" fillId="0" borderId="0" xfId="0" applyFont="1"/>
    <xf numFmtId="0" fontId="2" fillId="0" borderId="0" xfId="0" applyFont="1" applyAlignment="1">
      <alignment horizontal="right"/>
    </xf>
    <xf numFmtId="43" fontId="2" fillId="0" borderId="0" xfId="1" applyFont="1" applyFill="1" applyAlignment="1">
      <alignment horizontal="left"/>
    </xf>
    <xf numFmtId="10" fontId="59" fillId="0" borderId="0" xfId="3" quotePrefix="1" applyNumberFormat="1" applyFont="1" applyFill="1" applyAlignment="1">
      <alignment horizontal="right"/>
    </xf>
    <xf numFmtId="10" fontId="59" fillId="0" borderId="15" xfId="3" quotePrefix="1" applyNumberFormat="1" applyFont="1" applyFill="1" applyBorder="1" applyAlignment="1">
      <alignment horizontal="right"/>
    </xf>
    <xf numFmtId="10" fontId="59" fillId="0" borderId="0" xfId="3" quotePrefix="1" applyNumberFormat="1" applyFont="1" applyFill="1" applyBorder="1" applyAlignment="1">
      <alignment horizontal="right"/>
    </xf>
    <xf numFmtId="10" fontId="59" fillId="0" borderId="16" xfId="3" quotePrefix="1" applyNumberFormat="1" applyFont="1" applyFill="1" applyBorder="1" applyAlignment="1">
      <alignment horizontal="right"/>
    </xf>
    <xf numFmtId="10" fontId="59" fillId="0" borderId="0" xfId="3" applyNumberFormat="1" applyFont="1" applyFill="1"/>
    <xf numFmtId="10" fontId="59" fillId="0" borderId="15" xfId="3" applyNumberFormat="1" applyFont="1" applyFill="1" applyBorder="1"/>
    <xf numFmtId="10" fontId="59" fillId="0" borderId="0" xfId="3" applyNumberFormat="1" applyFont="1" applyFill="1" applyBorder="1"/>
    <xf numFmtId="10" fontId="59" fillId="0" borderId="16" xfId="3" applyNumberFormat="1" applyFont="1" applyFill="1" applyBorder="1"/>
    <xf numFmtId="3" fontId="3" fillId="10" borderId="0" xfId="0" applyNumberFormat="1" applyFont="1" applyFill="1"/>
    <xf numFmtId="17" fontId="5" fillId="0" borderId="0" xfId="0" applyNumberFormat="1" applyFont="1" applyFill="1"/>
    <xf numFmtId="4" fontId="5" fillId="0" borderId="15" xfId="0" applyNumberFormat="1" applyFont="1" applyFill="1" applyBorder="1"/>
    <xf numFmtId="4" fontId="5" fillId="0" borderId="0" xfId="0" applyNumberFormat="1" applyFont="1" applyFill="1" applyBorder="1"/>
    <xf numFmtId="4" fontId="5" fillId="0" borderId="16" xfId="0" applyNumberFormat="1" applyFont="1" applyFill="1" applyBorder="1"/>
    <xf numFmtId="190" fontId="12" fillId="0" borderId="0" xfId="0" applyNumberFormat="1" applyFont="1" applyFill="1"/>
    <xf numFmtId="8" fontId="59" fillId="0" borderId="0" xfId="0" applyNumberFormat="1" applyFont="1" applyFill="1" applyAlignment="1">
      <alignment horizontal="right"/>
    </xf>
    <xf numFmtId="187" fontId="65" fillId="0" borderId="0" xfId="0" applyNumberFormat="1" applyFont="1" applyFill="1" applyAlignment="1">
      <alignment horizontal="right"/>
    </xf>
    <xf numFmtId="8" fontId="5" fillId="0" borderId="0" xfId="2" applyNumberFormat="1" applyFont="1" applyFill="1" applyAlignment="1">
      <alignment horizontal="right"/>
    </xf>
    <xf numFmtId="169" fontId="0" fillId="0" borderId="0" xfId="0" applyNumberFormat="1" applyFill="1" applyBorder="1"/>
    <xf numFmtId="0" fontId="0" fillId="0" borderId="0" xfId="0" applyFill="1" applyBorder="1" applyAlignment="1">
      <alignment horizontal="left"/>
    </xf>
    <xf numFmtId="44" fontId="2" fillId="0" borderId="0" xfId="2" applyFont="1" applyFill="1" applyBorder="1"/>
    <xf numFmtId="169" fontId="0" fillId="0" borderId="0" xfId="3" applyNumberFormat="1" applyFont="1" applyFill="1" applyBorder="1"/>
    <xf numFmtId="44" fontId="3" fillId="0" borderId="0" xfId="2" applyFont="1" applyFill="1" applyBorder="1"/>
    <xf numFmtId="169" fontId="2" fillId="0" borderId="0" xfId="0" applyNumberFormat="1" applyFont="1" applyFill="1" applyBorder="1"/>
    <xf numFmtId="44" fontId="3" fillId="0" borderId="0" xfId="2" quotePrefix="1" applyFont="1" applyFill="1" applyBorder="1"/>
    <xf numFmtId="171" fontId="3" fillId="0" borderId="0" xfId="2" quotePrefix="1" applyNumberFormat="1" applyFont="1" applyFill="1" applyBorder="1"/>
    <xf numFmtId="169" fontId="21" fillId="0" borderId="0" xfId="0" applyNumberFormat="1" applyFont="1" applyFill="1" applyBorder="1"/>
    <xf numFmtId="171" fontId="2" fillId="0" borderId="0" xfId="2" quotePrefix="1" applyNumberFormat="1" applyFont="1" applyFill="1" applyBorder="1"/>
    <xf numFmtId="169" fontId="4" fillId="0" borderId="0" xfId="0" applyNumberFormat="1" applyFont="1" applyFill="1" applyBorder="1"/>
    <xf numFmtId="0" fontId="59" fillId="0" borderId="0" xfId="0" applyFont="1" applyFill="1" applyBorder="1"/>
    <xf numFmtId="0" fontId="60" fillId="0" borderId="0" xfId="0" applyFont="1" applyFill="1" applyBorder="1" applyAlignment="1">
      <alignment horizontal="right"/>
    </xf>
    <xf numFmtId="3" fontId="60" fillId="0" borderId="0" xfId="0" applyNumberFormat="1" applyFont="1" applyFill="1" applyBorder="1"/>
    <xf numFmtId="165" fontId="60" fillId="0" borderId="0" xfId="0" applyNumberFormat="1" applyFont="1" applyFill="1" applyBorder="1"/>
    <xf numFmtId="187" fontId="0" fillId="0" borderId="0" xfId="0" applyNumberFormat="1" applyFill="1" applyBorder="1"/>
    <xf numFmtId="7" fontId="0" fillId="0" borderId="0" xfId="0" applyNumberFormat="1" applyFill="1" applyBorder="1"/>
    <xf numFmtId="0" fontId="62" fillId="0" borderId="0" xfId="0" applyFont="1" applyFill="1" applyBorder="1"/>
    <xf numFmtId="44" fontId="2" fillId="0" borderId="0" xfId="2" quotePrefix="1" applyFont="1" applyFill="1" applyAlignment="1">
      <alignment horizontal="left"/>
    </xf>
    <xf numFmtId="177" fontId="4" fillId="9" borderId="0" xfId="1" quotePrefix="1" applyNumberFormat="1" applyFont="1" applyFill="1" applyBorder="1"/>
    <xf numFmtId="0" fontId="7" fillId="0" borderId="0" xfId="0" applyFont="1" applyFill="1" applyAlignment="1">
      <alignment horizontal="center"/>
    </xf>
    <xf numFmtId="0" fontId="29" fillId="0" borderId="0" xfId="0" applyFont="1" applyFill="1" applyAlignment="1">
      <alignment horizontal="center"/>
    </xf>
    <xf numFmtId="0" fontId="66" fillId="0" borderId="0" xfId="0" applyFont="1" applyFill="1" applyAlignment="1">
      <alignment horizontal="center" wrapText="1"/>
    </xf>
    <xf numFmtId="0" fontId="59" fillId="9" borderId="0" xfId="0" quotePrefix="1" applyFont="1" applyFill="1" applyAlignment="1">
      <alignment horizontal="left"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2" xfId="0" applyBorder="1" applyAlignment="1">
      <alignment horizontal="center" wrapText="1"/>
    </xf>
    <xf numFmtId="0" fontId="0" fillId="0" borderId="14" xfId="0" applyBorder="1" applyAlignment="1">
      <alignment horizontal="center" wrapText="1"/>
    </xf>
    <xf numFmtId="0" fontId="52" fillId="0" borderId="9" xfId="0" applyFont="1" applyBorder="1" applyAlignment="1">
      <alignment horizontal="center" wrapText="1"/>
    </xf>
    <xf numFmtId="0" fontId="52" fillId="0" borderId="10" xfId="0" applyFont="1" applyBorder="1" applyAlignment="1">
      <alignment horizontal="center" wrapText="1"/>
    </xf>
    <xf numFmtId="22" fontId="7" fillId="0" borderId="0" xfId="0" applyNumberFormat="1" applyFont="1" applyAlignment="1">
      <alignment horizontal="center"/>
    </xf>
    <xf numFmtId="0" fontId="50" fillId="0" borderId="0" xfId="0" applyFont="1" applyFill="1" applyBorder="1" applyAlignment="1">
      <alignment horizontal="center"/>
    </xf>
    <xf numFmtId="22" fontId="50" fillId="0" borderId="0" xfId="0" applyNumberFormat="1" applyFont="1" applyFill="1" applyBorder="1" applyAlignment="1">
      <alignment horizontal="center"/>
    </xf>
    <xf numFmtId="0" fontId="0" fillId="0" borderId="17" xfId="0" applyBorder="1" applyAlignment="1">
      <alignment horizontal="center" wrapText="1"/>
    </xf>
    <xf numFmtId="0" fontId="0" fillId="0" borderId="18" xfId="0" applyBorder="1" applyAlignment="1">
      <alignment horizontal="center" wrapText="1"/>
    </xf>
    <xf numFmtId="0" fontId="0" fillId="0" borderId="19" xfId="0" applyBorder="1" applyAlignment="1">
      <alignment horizontal="center" wrapText="1"/>
    </xf>
    <xf numFmtId="0" fontId="0" fillId="0" borderId="16" xfId="0" applyBorder="1" applyAlignment="1">
      <alignment horizontal="center"/>
    </xf>
    <xf numFmtId="0" fontId="54" fillId="0" borderId="0" xfId="0" applyFont="1" applyFill="1" applyBorder="1" applyAlignment="1">
      <alignment horizontal="center"/>
    </xf>
    <xf numFmtId="0" fontId="3" fillId="0" borderId="9" xfId="0" applyFont="1" applyBorder="1" applyAlignment="1">
      <alignment horizontal="center" wrapText="1"/>
    </xf>
  </cellXfs>
  <cellStyles count="7">
    <cellStyle name="Comma" xfId="1" builtinId="3"/>
    <cellStyle name="Currency" xfId="2" builtinId="4"/>
    <cellStyle name="Normal" xfId="0" builtinId="0"/>
    <cellStyle name="Normal 2" xfId="4"/>
    <cellStyle name="Normal 3" xfId="5"/>
    <cellStyle name="Percent" xfId="3" builtinId="5"/>
    <cellStyle name="Percent 2" xfId="6"/>
  </cellStyles>
  <dxfs count="0"/>
  <tableStyles count="0" defaultTableStyle="TableStyleMedium2" defaultPivotStyle="PivotStyleLight16"/>
  <colors>
    <mruColors>
      <color rgb="FFFFFF99"/>
      <color rgb="FFCC99FF"/>
      <color rgb="FF0000FF"/>
      <color rgb="FF006600"/>
      <color rgb="FF33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0"/>
  <sheetViews>
    <sheetView zoomScale="70" zoomScaleNormal="70" workbookViewId="0">
      <selection activeCell="AB161" sqref="AB161"/>
    </sheetView>
  </sheetViews>
  <sheetFormatPr defaultColWidth="9.109375" defaultRowHeight="13.2" x14ac:dyDescent="0.25"/>
  <cols>
    <col min="1" max="1" width="16.109375" style="12" customWidth="1"/>
    <col min="2" max="2" width="27.88671875" style="13" customWidth="1"/>
    <col min="3" max="3" width="14.5546875" style="13" customWidth="1"/>
    <col min="4" max="4" width="12.5546875" style="13" customWidth="1"/>
    <col min="5" max="5" width="16.5546875" style="13" customWidth="1"/>
    <col min="6" max="6" width="16" style="13" customWidth="1"/>
    <col min="7" max="7" width="16.5546875" style="13" customWidth="1"/>
    <col min="8" max="8" width="15.44140625" style="13" customWidth="1"/>
    <col min="9" max="9" width="14.109375" style="13" customWidth="1"/>
    <col min="10" max="10" width="16.44140625" style="13" customWidth="1"/>
    <col min="11" max="11" width="12.5546875" style="13" customWidth="1"/>
    <col min="12" max="12" width="16.5546875" style="13" customWidth="1"/>
    <col min="13" max="13" width="17" style="13" customWidth="1"/>
    <col min="14" max="14" width="15.109375" style="13" customWidth="1"/>
    <col min="15" max="16" width="12.44140625" style="13" customWidth="1"/>
    <col min="17" max="17" width="13.5546875" style="13" customWidth="1"/>
    <col min="18" max="18" width="14.44140625" style="13" customWidth="1"/>
    <col min="19" max="19" width="14.88671875" style="13" customWidth="1"/>
    <col min="20" max="20" width="15.109375" style="13" customWidth="1"/>
    <col min="21" max="21" width="14.109375" style="13" customWidth="1"/>
    <col min="22" max="22" width="12.44140625" style="13" customWidth="1"/>
    <col min="23" max="23" width="13.44140625" style="13" customWidth="1"/>
    <col min="24" max="24" width="15.44140625" style="13" customWidth="1"/>
    <col min="25" max="25" width="10.5546875" style="13" customWidth="1"/>
    <col min="26" max="26" width="11.5546875" style="13" customWidth="1"/>
    <col min="27" max="27" width="12.5546875" style="13" customWidth="1"/>
    <col min="28" max="28" width="13.44140625" style="13" customWidth="1"/>
    <col min="29" max="29" width="11" style="13" customWidth="1"/>
    <col min="30" max="30" width="14.109375" style="13" customWidth="1"/>
    <col min="31" max="31" width="9.88671875" style="13" bestFit="1" customWidth="1"/>
    <col min="32" max="32" width="9.109375" style="13" customWidth="1"/>
    <col min="33" max="33" width="12" style="13" customWidth="1"/>
    <col min="34" max="37" width="9.109375" style="13" customWidth="1"/>
    <col min="38" max="38" width="9.44140625" style="13" customWidth="1"/>
    <col min="39" max="46" width="9.109375" style="13" customWidth="1"/>
    <col min="47" max="48" width="10.88671875" style="13" customWidth="1"/>
    <col min="49" max="49" width="12.44140625" style="13" customWidth="1"/>
    <col min="50" max="50" width="10.88671875" style="13" customWidth="1"/>
    <col min="51" max="51" width="11.44140625" style="13" customWidth="1"/>
    <col min="52" max="16384" width="9.109375" style="13"/>
  </cols>
  <sheetData>
    <row r="1" spans="1:26" ht="15.6" x14ac:dyDescent="0.3">
      <c r="B1" s="534" t="s">
        <v>69</v>
      </c>
      <c r="C1" s="534"/>
      <c r="D1" s="534"/>
      <c r="E1" s="534"/>
      <c r="F1" s="534"/>
      <c r="G1" s="534"/>
      <c r="H1" s="534"/>
      <c r="I1" s="534"/>
      <c r="J1" s="534"/>
      <c r="K1" s="534"/>
      <c r="L1" s="534"/>
    </row>
    <row r="2" spans="1:26" ht="15.6" x14ac:dyDescent="0.3">
      <c r="B2" s="534" t="s">
        <v>187</v>
      </c>
      <c r="C2" s="534"/>
      <c r="D2" s="534"/>
      <c r="E2" s="534"/>
      <c r="F2" s="534"/>
      <c r="G2" s="534"/>
      <c r="H2" s="534"/>
      <c r="I2" s="534"/>
      <c r="J2" s="534"/>
      <c r="K2" s="534"/>
      <c r="L2" s="534"/>
    </row>
    <row r="3" spans="1:26" ht="15.6" x14ac:dyDescent="0.3">
      <c r="B3" s="534" t="str">
        <f>'BGS PTY16 Cost Alloc'!$B$3</f>
        <v>2018 BGS Auction Cost and Bid Factor Tables</v>
      </c>
      <c r="C3" s="534"/>
      <c r="D3" s="534"/>
      <c r="E3" s="534"/>
      <c r="F3" s="534"/>
      <c r="G3" s="534"/>
      <c r="H3" s="534"/>
      <c r="I3" s="534"/>
      <c r="J3" s="534"/>
      <c r="K3" s="534"/>
      <c r="L3" s="534"/>
    </row>
    <row r="4" spans="1:26" ht="15.6" x14ac:dyDescent="0.3">
      <c r="B4" s="167"/>
      <c r="C4" s="167"/>
      <c r="D4" s="167"/>
      <c r="E4" s="167"/>
      <c r="F4" s="167"/>
      <c r="G4" s="167"/>
      <c r="H4" s="167"/>
      <c r="I4" s="167"/>
      <c r="J4" s="167"/>
      <c r="K4" s="167"/>
      <c r="L4" s="167"/>
    </row>
    <row r="5" spans="1:26" ht="15.6" x14ac:dyDescent="0.3">
      <c r="B5" s="535" t="s">
        <v>390</v>
      </c>
      <c r="C5" s="535"/>
      <c r="D5" s="535"/>
      <c r="E5" s="535"/>
      <c r="F5" s="535"/>
      <c r="G5" s="535"/>
      <c r="H5" s="535"/>
      <c r="I5" s="535"/>
      <c r="J5" s="535"/>
      <c r="K5" s="535"/>
      <c r="L5" s="535"/>
    </row>
    <row r="6" spans="1:26" x14ac:dyDescent="0.25">
      <c r="L6" s="121" t="s">
        <v>256</v>
      </c>
    </row>
    <row r="8" spans="1:26" ht="15.6" x14ac:dyDescent="0.3">
      <c r="B8" s="14" t="s">
        <v>50</v>
      </c>
    </row>
    <row r="9" spans="1:26" x14ac:dyDescent="0.25">
      <c r="A9" s="15"/>
      <c r="B9" s="16" t="s">
        <v>45</v>
      </c>
    </row>
    <row r="10" spans="1:26" x14ac:dyDescent="0.25">
      <c r="E10" s="17" t="str">
        <f>'BGS PTY16 Cost Alloc'!$E$10</f>
        <v>Based on an average of 2014 through 2016 Load Profile Information</v>
      </c>
    </row>
    <row r="11" spans="1:26" x14ac:dyDescent="0.25">
      <c r="A11" s="18" t="s">
        <v>30</v>
      </c>
      <c r="B11" s="19" t="s">
        <v>47</v>
      </c>
      <c r="C11" s="20"/>
      <c r="E11" s="17" t="s">
        <v>27</v>
      </c>
      <c r="N11" s="19"/>
      <c r="P11" s="21"/>
      <c r="Q11" s="19" t="s">
        <v>212</v>
      </c>
      <c r="R11" s="21"/>
      <c r="S11" s="21"/>
      <c r="T11" s="21"/>
      <c r="U11" s="21"/>
      <c r="V11" s="21"/>
      <c r="W11" s="21"/>
      <c r="X11" s="21"/>
      <c r="Y11" s="21"/>
      <c r="Z11" s="21"/>
    </row>
    <row r="12" spans="1:26" ht="26.4" x14ac:dyDescent="0.25">
      <c r="A12" s="22"/>
      <c r="C12" s="23"/>
      <c r="D12" s="23"/>
      <c r="E12" s="23" t="s">
        <v>24</v>
      </c>
      <c r="F12" s="23" t="s">
        <v>24</v>
      </c>
      <c r="G12" s="23" t="s">
        <v>24</v>
      </c>
      <c r="H12" s="23" t="s">
        <v>24</v>
      </c>
      <c r="I12" s="23" t="s">
        <v>56</v>
      </c>
      <c r="K12" s="23"/>
      <c r="L12" s="23"/>
      <c r="M12" s="23"/>
      <c r="N12" s="17"/>
      <c r="O12" s="23"/>
      <c r="P12" s="23"/>
      <c r="Q12" s="23" t="s">
        <v>24</v>
      </c>
      <c r="R12" s="23" t="s">
        <v>24</v>
      </c>
      <c r="S12" s="23" t="s">
        <v>24</v>
      </c>
      <c r="T12" s="23" t="s">
        <v>24</v>
      </c>
      <c r="U12" s="23" t="s">
        <v>56</v>
      </c>
      <c r="W12" s="23"/>
      <c r="X12" s="23"/>
      <c r="Y12" s="23"/>
      <c r="Z12" s="23"/>
    </row>
    <row r="13" spans="1:26" x14ac:dyDescent="0.25">
      <c r="A13" s="22"/>
      <c r="B13" s="24" t="s">
        <v>190</v>
      </c>
      <c r="C13" s="25"/>
      <c r="D13" s="25"/>
      <c r="E13" s="26" t="s">
        <v>61</v>
      </c>
      <c r="F13" s="26" t="s">
        <v>62</v>
      </c>
      <c r="G13" s="26" t="s">
        <v>65</v>
      </c>
      <c r="H13" s="26" t="s">
        <v>54</v>
      </c>
      <c r="I13" s="26" t="s">
        <v>55</v>
      </c>
      <c r="J13" s="25"/>
      <c r="K13" s="25"/>
      <c r="L13" s="25"/>
      <c r="M13" s="25"/>
      <c r="N13" s="27"/>
      <c r="O13" s="26"/>
      <c r="P13" s="26"/>
      <c r="Q13" s="26" t="str">
        <f>+E13</f>
        <v>RT{1}</v>
      </c>
      <c r="R13" s="26" t="str">
        <f>+F13</f>
        <v>RS{2}</v>
      </c>
      <c r="S13" s="26" t="str">
        <f>+G13</f>
        <v>GS{3}</v>
      </c>
      <c r="T13" s="26" t="str">
        <f>+H13</f>
        <v>GST</v>
      </c>
      <c r="U13" s="26" t="str">
        <f>+I13</f>
        <v>OL/SL</v>
      </c>
      <c r="V13" s="26"/>
      <c r="W13" s="26"/>
      <c r="X13" s="26"/>
      <c r="Y13" s="26"/>
      <c r="Z13" s="26"/>
    </row>
    <row r="14" spans="1:26" x14ac:dyDescent="0.25">
      <c r="A14" s="22"/>
      <c r="O14" s="21"/>
      <c r="P14" s="21"/>
      <c r="Q14" s="21"/>
      <c r="R14" s="21"/>
      <c r="S14" s="21"/>
      <c r="T14" s="21"/>
      <c r="U14" s="21"/>
      <c r="V14" s="21"/>
      <c r="W14" s="21"/>
      <c r="X14" s="21"/>
      <c r="Y14" s="21"/>
      <c r="Z14" s="21"/>
    </row>
    <row r="15" spans="1:26" x14ac:dyDescent="0.25">
      <c r="A15" s="22"/>
      <c r="B15" s="28" t="s">
        <v>1</v>
      </c>
      <c r="C15" s="29"/>
      <c r="D15" s="29"/>
      <c r="E15" s="154">
        <f>'BGS PTY16 Cost Alloc'!E15</f>
        <v>0.47970000000000002</v>
      </c>
      <c r="F15" s="154">
        <f>'BGS PTY16 Cost Alloc'!F15</f>
        <v>0.50180000000000002</v>
      </c>
      <c r="G15" s="154">
        <f>'BGS PTY16 Cost Alloc'!G15</f>
        <v>0.56210000000000004</v>
      </c>
      <c r="H15" s="154">
        <f>'BGS PTY16 Cost Alloc'!H15</f>
        <v>0.5423</v>
      </c>
      <c r="I15" s="154">
        <f>'BGS PTY16 Cost Alloc'!I15</f>
        <v>0.32979999999999998</v>
      </c>
      <c r="J15" s="29"/>
      <c r="K15" s="30"/>
      <c r="L15" s="30"/>
      <c r="M15" s="30"/>
      <c r="N15" s="31"/>
      <c r="O15" s="32"/>
      <c r="P15" s="32"/>
      <c r="Q15" s="32">
        <f t="shared" ref="Q15:Q26" si="0">1-E15</f>
        <v>0.52029999999999998</v>
      </c>
      <c r="R15" s="32">
        <f t="shared" ref="R15:R26" si="1">1-F15</f>
        <v>0.49819999999999998</v>
      </c>
      <c r="S15" s="32">
        <f t="shared" ref="S15:S26" si="2">1-G15</f>
        <v>0.43789999999999996</v>
      </c>
      <c r="T15" s="32">
        <f t="shared" ref="T15:T26" si="3">1-H15</f>
        <v>0.4577</v>
      </c>
      <c r="U15" s="32">
        <f t="shared" ref="U15:U26" si="4">1-I15</f>
        <v>0.67020000000000002</v>
      </c>
      <c r="V15" s="32"/>
      <c r="W15" s="32"/>
      <c r="X15" s="32"/>
      <c r="Y15" s="32"/>
      <c r="Z15" s="32"/>
    </row>
    <row r="16" spans="1:26" x14ac:dyDescent="0.25">
      <c r="A16" s="22"/>
      <c r="B16" s="28" t="s">
        <v>2</v>
      </c>
      <c r="C16" s="29"/>
      <c r="D16" s="29"/>
      <c r="E16" s="154">
        <f>'BGS PTY16 Cost Alloc'!E16</f>
        <v>0.48659999999999998</v>
      </c>
      <c r="F16" s="154">
        <f>'BGS PTY16 Cost Alloc'!F16</f>
        <v>0.51459999999999995</v>
      </c>
      <c r="G16" s="154">
        <f>'BGS PTY16 Cost Alloc'!G16</f>
        <v>0.57640000000000002</v>
      </c>
      <c r="H16" s="154">
        <f>'BGS PTY16 Cost Alloc'!H16</f>
        <v>0.55569999999999997</v>
      </c>
      <c r="I16" s="154">
        <f>'BGS PTY16 Cost Alloc'!I16</f>
        <v>0.31480000000000002</v>
      </c>
      <c r="J16" s="29"/>
      <c r="K16" s="30"/>
      <c r="L16" s="30"/>
      <c r="M16" s="30"/>
      <c r="N16" s="31"/>
      <c r="O16" s="32"/>
      <c r="P16" s="32"/>
      <c r="Q16" s="32">
        <f t="shared" si="0"/>
        <v>0.51340000000000008</v>
      </c>
      <c r="R16" s="32">
        <f t="shared" si="1"/>
        <v>0.48540000000000005</v>
      </c>
      <c r="S16" s="32">
        <f t="shared" si="2"/>
        <v>0.42359999999999998</v>
      </c>
      <c r="T16" s="32">
        <f t="shared" si="3"/>
        <v>0.44430000000000003</v>
      </c>
      <c r="U16" s="32">
        <f t="shared" si="4"/>
        <v>0.68520000000000003</v>
      </c>
      <c r="V16" s="32"/>
      <c r="W16" s="32"/>
      <c r="X16" s="32"/>
      <c r="Y16" s="32"/>
      <c r="Z16" s="32"/>
    </row>
    <row r="17" spans="1:26" x14ac:dyDescent="0.25">
      <c r="A17" s="22"/>
      <c r="B17" s="28" t="s">
        <v>3</v>
      </c>
      <c r="C17" s="29"/>
      <c r="D17" s="29"/>
      <c r="E17" s="154">
        <f>'BGS PTY16 Cost Alloc'!E17</f>
        <v>0.48380000000000001</v>
      </c>
      <c r="F17" s="154">
        <f>'BGS PTY16 Cost Alloc'!F17</f>
        <v>0.50480000000000003</v>
      </c>
      <c r="G17" s="154">
        <f>'BGS PTY16 Cost Alloc'!G17</f>
        <v>0.59109999999999996</v>
      </c>
      <c r="H17" s="154">
        <f>'BGS PTY16 Cost Alloc'!H17</f>
        <v>0.56059999999999999</v>
      </c>
      <c r="I17" s="154">
        <f>'BGS PTY16 Cost Alloc'!I17</f>
        <v>0.27829999999999999</v>
      </c>
      <c r="J17" s="29"/>
      <c r="K17" s="30"/>
      <c r="L17" s="30"/>
      <c r="M17" s="30"/>
      <c r="N17" s="31"/>
      <c r="O17" s="32"/>
      <c r="P17" s="32"/>
      <c r="Q17" s="32">
        <f t="shared" si="0"/>
        <v>0.51619999999999999</v>
      </c>
      <c r="R17" s="32">
        <f t="shared" si="1"/>
        <v>0.49519999999999997</v>
      </c>
      <c r="S17" s="32">
        <f t="shared" si="2"/>
        <v>0.40890000000000004</v>
      </c>
      <c r="T17" s="32">
        <f t="shared" si="3"/>
        <v>0.43940000000000001</v>
      </c>
      <c r="U17" s="32">
        <f t="shared" si="4"/>
        <v>0.72170000000000001</v>
      </c>
      <c r="V17" s="32"/>
      <c r="W17" s="32"/>
      <c r="X17" s="32"/>
      <c r="Y17" s="32"/>
      <c r="Z17" s="32"/>
    </row>
    <row r="18" spans="1:26" x14ac:dyDescent="0.25">
      <c r="A18" s="22"/>
      <c r="B18" s="28" t="s">
        <v>4</v>
      </c>
      <c r="C18" s="29"/>
      <c r="D18" s="29"/>
      <c r="E18" s="154">
        <f>'BGS PTY16 Cost Alloc'!E18</f>
        <v>0.49430000000000002</v>
      </c>
      <c r="F18" s="154">
        <f>'BGS PTY16 Cost Alloc'!F18</f>
        <v>0.5111</v>
      </c>
      <c r="G18" s="154">
        <f>'BGS PTY16 Cost Alloc'!G18</f>
        <v>0.60409999999999997</v>
      </c>
      <c r="H18" s="154">
        <f>'BGS PTY16 Cost Alloc'!H18</f>
        <v>0.58309999999999995</v>
      </c>
      <c r="I18" s="154">
        <f>'BGS PTY16 Cost Alloc'!I18</f>
        <v>0.25600000000000001</v>
      </c>
      <c r="J18" s="29"/>
      <c r="K18" s="30"/>
      <c r="L18" s="30"/>
      <c r="M18" s="30"/>
      <c r="N18" s="31"/>
      <c r="O18" s="32"/>
      <c r="P18" s="32"/>
      <c r="Q18" s="32">
        <f t="shared" si="0"/>
        <v>0.50570000000000004</v>
      </c>
      <c r="R18" s="32">
        <f t="shared" si="1"/>
        <v>0.4889</v>
      </c>
      <c r="S18" s="32">
        <f t="shared" si="2"/>
        <v>0.39590000000000003</v>
      </c>
      <c r="T18" s="32">
        <f t="shared" si="3"/>
        <v>0.41690000000000005</v>
      </c>
      <c r="U18" s="32">
        <f t="shared" si="4"/>
        <v>0.74399999999999999</v>
      </c>
      <c r="V18" s="32"/>
      <c r="W18" s="32"/>
      <c r="X18" s="32"/>
      <c r="Y18" s="32"/>
      <c r="Z18" s="32"/>
    </row>
    <row r="19" spans="1:26" x14ac:dyDescent="0.25">
      <c r="A19" s="22"/>
      <c r="B19" s="28" t="s">
        <v>5</v>
      </c>
      <c r="C19" s="29"/>
      <c r="D19" s="29"/>
      <c r="E19" s="154">
        <f>'BGS PTY16 Cost Alloc'!E19</f>
        <v>0.47299999999999998</v>
      </c>
      <c r="F19" s="154">
        <f>'BGS PTY16 Cost Alloc'!F19</f>
        <v>0.47810000000000002</v>
      </c>
      <c r="G19" s="154">
        <f>'BGS PTY16 Cost Alloc'!G19</f>
        <v>0.57969999999999999</v>
      </c>
      <c r="H19" s="154">
        <f>'BGS PTY16 Cost Alloc'!H19</f>
        <v>0.56679999999999997</v>
      </c>
      <c r="I19" s="154">
        <f>'BGS PTY16 Cost Alloc'!I19</f>
        <v>0.23760000000000001</v>
      </c>
      <c r="J19" s="29"/>
      <c r="K19" s="30"/>
      <c r="L19" s="30"/>
      <c r="M19" s="30"/>
      <c r="N19" s="31"/>
      <c r="O19" s="32"/>
      <c r="P19" s="32"/>
      <c r="Q19" s="32">
        <f t="shared" si="0"/>
        <v>0.52700000000000002</v>
      </c>
      <c r="R19" s="32">
        <f t="shared" si="1"/>
        <v>0.52190000000000003</v>
      </c>
      <c r="S19" s="32">
        <f t="shared" si="2"/>
        <v>0.42030000000000001</v>
      </c>
      <c r="T19" s="32">
        <f t="shared" si="3"/>
        <v>0.43320000000000003</v>
      </c>
      <c r="U19" s="32">
        <f t="shared" si="4"/>
        <v>0.76239999999999997</v>
      </c>
      <c r="V19" s="32"/>
      <c r="W19" s="32"/>
      <c r="X19" s="32"/>
      <c r="Y19" s="32"/>
      <c r="Z19" s="32"/>
    </row>
    <row r="20" spans="1:26" x14ac:dyDescent="0.25">
      <c r="A20" s="22"/>
      <c r="B20" s="28" t="s">
        <v>6</v>
      </c>
      <c r="C20" s="29"/>
      <c r="D20" s="29"/>
      <c r="E20" s="154">
        <f>'BGS PTY16 Cost Alloc'!E20</f>
        <v>0.53190000000000004</v>
      </c>
      <c r="F20" s="154">
        <f>'BGS PTY16 Cost Alloc'!F20</f>
        <v>0.53710000000000002</v>
      </c>
      <c r="G20" s="154">
        <f>'BGS PTY16 Cost Alloc'!G20</f>
        <v>0.59850000000000003</v>
      </c>
      <c r="H20" s="154">
        <f>'BGS PTY16 Cost Alloc'!H20</f>
        <v>0.59660000000000002</v>
      </c>
      <c r="I20" s="154">
        <f>'BGS PTY16 Cost Alloc'!I20</f>
        <v>0.2329</v>
      </c>
      <c r="J20" s="29"/>
      <c r="K20" s="30"/>
      <c r="L20" s="30"/>
      <c r="M20" s="30"/>
      <c r="N20" s="31"/>
      <c r="O20" s="32"/>
      <c r="P20" s="32"/>
      <c r="Q20" s="32">
        <f t="shared" si="0"/>
        <v>0.46809999999999996</v>
      </c>
      <c r="R20" s="32">
        <f t="shared" si="1"/>
        <v>0.46289999999999998</v>
      </c>
      <c r="S20" s="32">
        <f t="shared" si="2"/>
        <v>0.40149999999999997</v>
      </c>
      <c r="T20" s="32">
        <f t="shared" si="3"/>
        <v>0.40339999999999998</v>
      </c>
      <c r="U20" s="32">
        <f t="shared" si="4"/>
        <v>0.7671</v>
      </c>
      <c r="V20" s="32"/>
      <c r="W20" s="32"/>
      <c r="X20" s="32"/>
      <c r="Y20" s="32"/>
      <c r="Z20" s="32"/>
    </row>
    <row r="21" spans="1:26" x14ac:dyDescent="0.25">
      <c r="A21" s="22"/>
      <c r="B21" s="28" t="s">
        <v>7</v>
      </c>
      <c r="C21" s="29"/>
      <c r="D21" s="29"/>
      <c r="E21" s="154">
        <f>'BGS PTY16 Cost Alloc'!E21</f>
        <v>0.53</v>
      </c>
      <c r="F21" s="154">
        <f>'BGS PTY16 Cost Alloc'!F21</f>
        <v>0.52829999999999999</v>
      </c>
      <c r="G21" s="154">
        <f>'BGS PTY16 Cost Alloc'!G21</f>
        <v>0.59179999999999999</v>
      </c>
      <c r="H21" s="154">
        <f>'BGS PTY16 Cost Alloc'!H21</f>
        <v>0.58889999999999998</v>
      </c>
      <c r="I21" s="154">
        <f>'BGS PTY16 Cost Alloc'!I21</f>
        <v>0.2346</v>
      </c>
      <c r="J21" s="29"/>
      <c r="K21" s="30"/>
      <c r="L21" s="30"/>
      <c r="M21" s="30"/>
      <c r="N21" s="31"/>
      <c r="O21" s="32"/>
      <c r="P21" s="32"/>
      <c r="Q21" s="32">
        <f t="shared" si="0"/>
        <v>0.47</v>
      </c>
      <c r="R21" s="32">
        <f t="shared" si="1"/>
        <v>0.47170000000000001</v>
      </c>
      <c r="S21" s="32">
        <f t="shared" si="2"/>
        <v>0.40820000000000001</v>
      </c>
      <c r="T21" s="32">
        <f t="shared" si="3"/>
        <v>0.41110000000000002</v>
      </c>
      <c r="U21" s="32">
        <f t="shared" si="4"/>
        <v>0.76539999999999997</v>
      </c>
      <c r="V21" s="32"/>
      <c r="W21" s="32"/>
      <c r="X21" s="32"/>
      <c r="Y21" s="32"/>
      <c r="Z21" s="32"/>
    </row>
    <row r="22" spans="1:26" x14ac:dyDescent="0.25">
      <c r="A22" s="22"/>
      <c r="B22" s="28" t="s">
        <v>8</v>
      </c>
      <c r="C22" s="29"/>
      <c r="D22" s="29"/>
      <c r="E22" s="154">
        <f>'BGS PTY16 Cost Alloc'!E22</f>
        <v>0.51490000000000002</v>
      </c>
      <c r="F22" s="154">
        <f>'BGS PTY16 Cost Alloc'!F22</f>
        <v>0.51339999999999997</v>
      </c>
      <c r="G22" s="154">
        <f>'BGS PTY16 Cost Alloc'!G22</f>
        <v>0.58089999999999997</v>
      </c>
      <c r="H22" s="154">
        <f>'BGS PTY16 Cost Alloc'!H22</f>
        <v>0.57669999999999999</v>
      </c>
      <c r="I22" s="154">
        <f>'BGS PTY16 Cost Alloc'!I22</f>
        <v>0.2382</v>
      </c>
      <c r="J22" s="29"/>
      <c r="K22" s="30"/>
      <c r="L22" s="30"/>
      <c r="M22" s="30"/>
      <c r="N22" s="31"/>
      <c r="O22" s="32"/>
      <c r="P22" s="32"/>
      <c r="Q22" s="32">
        <f t="shared" si="0"/>
        <v>0.48509999999999998</v>
      </c>
      <c r="R22" s="32">
        <f t="shared" si="1"/>
        <v>0.48660000000000003</v>
      </c>
      <c r="S22" s="32">
        <f t="shared" si="2"/>
        <v>0.41910000000000003</v>
      </c>
      <c r="T22" s="32">
        <f t="shared" si="3"/>
        <v>0.42330000000000001</v>
      </c>
      <c r="U22" s="32">
        <f t="shared" si="4"/>
        <v>0.76180000000000003</v>
      </c>
      <c r="V22" s="32"/>
      <c r="W22" s="32"/>
      <c r="X22" s="32"/>
      <c r="Y22" s="32"/>
      <c r="Z22" s="32"/>
    </row>
    <row r="23" spans="1:26" x14ac:dyDescent="0.25">
      <c r="A23" s="22"/>
      <c r="B23" s="28" t="s">
        <v>9</v>
      </c>
      <c r="C23" s="29"/>
      <c r="D23" s="29"/>
      <c r="E23" s="154">
        <f>'BGS PTY16 Cost Alloc'!E23</f>
        <v>0.50439999999999996</v>
      </c>
      <c r="F23" s="154">
        <f>'BGS PTY16 Cost Alloc'!F23</f>
        <v>0.50629999999999997</v>
      </c>
      <c r="G23" s="154">
        <f>'BGS PTY16 Cost Alloc'!G23</f>
        <v>0.60260000000000002</v>
      </c>
      <c r="H23" s="154">
        <f>'BGS PTY16 Cost Alloc'!H23</f>
        <v>0.59319999999999995</v>
      </c>
      <c r="I23" s="154">
        <f>'BGS PTY16 Cost Alloc'!I23</f>
        <v>0.27110000000000001</v>
      </c>
      <c r="J23" s="29"/>
      <c r="K23" s="30"/>
      <c r="L23" s="30"/>
      <c r="M23" s="30"/>
      <c r="N23" s="31"/>
      <c r="O23" s="32"/>
      <c r="P23" s="32"/>
      <c r="Q23" s="32">
        <f t="shared" si="0"/>
        <v>0.49560000000000004</v>
      </c>
      <c r="R23" s="32">
        <f t="shared" si="1"/>
        <v>0.49370000000000003</v>
      </c>
      <c r="S23" s="32">
        <f t="shared" si="2"/>
        <v>0.39739999999999998</v>
      </c>
      <c r="T23" s="32">
        <f t="shared" si="3"/>
        <v>0.40680000000000005</v>
      </c>
      <c r="U23" s="32">
        <f t="shared" si="4"/>
        <v>0.72889999999999999</v>
      </c>
      <c r="V23" s="32"/>
      <c r="W23" s="32"/>
      <c r="X23" s="32"/>
      <c r="Y23" s="32"/>
      <c r="Z23" s="32"/>
    </row>
    <row r="24" spans="1:26" x14ac:dyDescent="0.25">
      <c r="A24" s="22"/>
      <c r="B24" s="28" t="s">
        <v>10</v>
      </c>
      <c r="C24" s="29"/>
      <c r="D24" s="29"/>
      <c r="E24" s="154">
        <f>'BGS PTY16 Cost Alloc'!E24</f>
        <v>0.48399999999999999</v>
      </c>
      <c r="F24" s="154">
        <f>'BGS PTY16 Cost Alloc'!F24</f>
        <v>0.50390000000000001</v>
      </c>
      <c r="G24" s="154">
        <f>'BGS PTY16 Cost Alloc'!G24</f>
        <v>0.59319999999999995</v>
      </c>
      <c r="H24" s="154">
        <f>'BGS PTY16 Cost Alloc'!H24</f>
        <v>0.5837</v>
      </c>
      <c r="I24" s="154">
        <f>'BGS PTY16 Cost Alloc'!I24</f>
        <v>0.28939999999999999</v>
      </c>
      <c r="J24" s="29"/>
      <c r="K24" s="30"/>
      <c r="L24" s="30"/>
      <c r="M24" s="30"/>
      <c r="N24" s="31"/>
      <c r="O24" s="32"/>
      <c r="P24" s="32"/>
      <c r="Q24" s="32">
        <f t="shared" si="0"/>
        <v>0.51600000000000001</v>
      </c>
      <c r="R24" s="32">
        <f t="shared" si="1"/>
        <v>0.49609999999999999</v>
      </c>
      <c r="S24" s="32">
        <f t="shared" si="2"/>
        <v>0.40680000000000005</v>
      </c>
      <c r="T24" s="32">
        <f t="shared" si="3"/>
        <v>0.4163</v>
      </c>
      <c r="U24" s="32">
        <f t="shared" si="4"/>
        <v>0.71060000000000001</v>
      </c>
      <c r="V24" s="32"/>
      <c r="W24" s="32"/>
      <c r="X24" s="32"/>
      <c r="Y24" s="32"/>
      <c r="Z24" s="32"/>
    </row>
    <row r="25" spans="1:26" x14ac:dyDescent="0.25">
      <c r="A25" s="22"/>
      <c r="B25" s="28" t="s">
        <v>11</v>
      </c>
      <c r="C25" s="29"/>
      <c r="D25" s="29"/>
      <c r="E25" s="154">
        <f>'BGS PTY16 Cost Alloc'!E25</f>
        <v>0.4516</v>
      </c>
      <c r="F25" s="154">
        <f>'BGS PTY16 Cost Alloc'!F25</f>
        <v>0.4839</v>
      </c>
      <c r="G25" s="154">
        <f>'BGS PTY16 Cost Alloc'!G25</f>
        <v>0.57120000000000004</v>
      </c>
      <c r="H25" s="154">
        <f>'BGS PTY16 Cost Alloc'!H25</f>
        <v>0.54800000000000004</v>
      </c>
      <c r="I25" s="154">
        <f>'BGS PTY16 Cost Alloc'!I25</f>
        <v>0.32469999999999999</v>
      </c>
      <c r="J25" s="29"/>
      <c r="K25" s="30"/>
      <c r="L25" s="30"/>
      <c r="M25" s="30"/>
      <c r="N25" s="31"/>
      <c r="O25" s="32"/>
      <c r="P25" s="32"/>
      <c r="Q25" s="32">
        <f t="shared" si="0"/>
        <v>0.5484</v>
      </c>
      <c r="R25" s="32">
        <f t="shared" si="1"/>
        <v>0.5161</v>
      </c>
      <c r="S25" s="32">
        <f t="shared" si="2"/>
        <v>0.42879999999999996</v>
      </c>
      <c r="T25" s="32">
        <f t="shared" si="3"/>
        <v>0.45199999999999996</v>
      </c>
      <c r="U25" s="32">
        <f t="shared" si="4"/>
        <v>0.67530000000000001</v>
      </c>
      <c r="V25" s="32"/>
      <c r="W25" s="32"/>
      <c r="X25" s="32"/>
      <c r="Y25" s="32"/>
      <c r="Z25" s="32"/>
    </row>
    <row r="26" spans="1:26" x14ac:dyDescent="0.25">
      <c r="A26" s="22"/>
      <c r="B26" s="28" t="s">
        <v>12</v>
      </c>
      <c r="C26" s="29"/>
      <c r="D26" s="29"/>
      <c r="E26" s="154">
        <f>'BGS PTY16 Cost Alloc'!E26</f>
        <v>0.4889</v>
      </c>
      <c r="F26" s="154">
        <f>'BGS PTY16 Cost Alloc'!F26</f>
        <v>0.51090000000000002</v>
      </c>
      <c r="G26" s="154">
        <f>'BGS PTY16 Cost Alloc'!G26</f>
        <v>0.57969999999999999</v>
      </c>
      <c r="H26" s="154">
        <f>'BGS PTY16 Cost Alloc'!H26</f>
        <v>0.55740000000000001</v>
      </c>
      <c r="I26" s="154">
        <f>'BGS PTY16 Cost Alloc'!I26</f>
        <v>0.3458</v>
      </c>
      <c r="J26" s="29"/>
      <c r="K26" s="30"/>
      <c r="L26" s="30"/>
      <c r="M26" s="30"/>
      <c r="N26" s="31"/>
      <c r="O26" s="32"/>
      <c r="P26" s="32"/>
      <c r="Q26" s="32">
        <f t="shared" si="0"/>
        <v>0.5111</v>
      </c>
      <c r="R26" s="32">
        <f t="shared" si="1"/>
        <v>0.48909999999999998</v>
      </c>
      <c r="S26" s="32">
        <f t="shared" si="2"/>
        <v>0.42030000000000001</v>
      </c>
      <c r="T26" s="32">
        <f t="shared" si="3"/>
        <v>0.44259999999999999</v>
      </c>
      <c r="U26" s="32">
        <f t="shared" si="4"/>
        <v>0.6542</v>
      </c>
      <c r="V26" s="32"/>
      <c r="W26" s="32"/>
      <c r="X26" s="32"/>
      <c r="Y26" s="32"/>
      <c r="Z26" s="32"/>
    </row>
    <row r="27" spans="1:26" x14ac:dyDescent="0.25">
      <c r="A27" s="22"/>
      <c r="B27" s="28"/>
      <c r="C27" s="31"/>
      <c r="D27" s="31"/>
      <c r="E27" s="31"/>
      <c r="F27" s="31"/>
      <c r="G27" s="31"/>
      <c r="H27" s="31"/>
      <c r="I27" s="33"/>
      <c r="J27" s="33"/>
      <c r="K27" s="31"/>
      <c r="L27" s="31"/>
      <c r="M27" s="31"/>
      <c r="N27" s="31"/>
      <c r="O27" s="32"/>
      <c r="P27" s="32"/>
      <c r="Q27" s="32"/>
      <c r="R27" s="32"/>
      <c r="S27" s="32"/>
      <c r="T27" s="32"/>
      <c r="U27" s="32"/>
      <c r="V27" s="32"/>
      <c r="W27" s="32"/>
      <c r="X27" s="32"/>
      <c r="Y27" s="32"/>
      <c r="Z27" s="32"/>
    </row>
    <row r="28" spans="1:26" x14ac:dyDescent="0.25">
      <c r="A28" s="22"/>
      <c r="B28" s="28"/>
      <c r="C28" s="31"/>
      <c r="D28" s="31"/>
      <c r="E28" s="31"/>
      <c r="F28" s="31"/>
      <c r="G28" s="31"/>
      <c r="H28" s="31"/>
      <c r="I28" s="33"/>
      <c r="J28" s="33"/>
      <c r="K28" s="31"/>
      <c r="L28" s="31"/>
      <c r="M28" s="31"/>
      <c r="N28" s="31"/>
      <c r="O28" s="32"/>
      <c r="P28" s="32"/>
      <c r="Q28" s="32"/>
      <c r="R28" s="32"/>
      <c r="S28" s="32"/>
      <c r="T28" s="32"/>
      <c r="U28" s="32"/>
      <c r="V28" s="32"/>
      <c r="W28" s="32"/>
      <c r="X28" s="32"/>
      <c r="Y28" s="32"/>
      <c r="Z28" s="32"/>
    </row>
    <row r="29" spans="1:26" x14ac:dyDescent="0.25">
      <c r="A29" s="18" t="s">
        <v>31</v>
      </c>
      <c r="B29" s="19" t="s">
        <v>57</v>
      </c>
      <c r="C29" s="31"/>
      <c r="D29" s="31"/>
      <c r="E29" s="31"/>
      <c r="F29" s="34" t="s">
        <v>46</v>
      </c>
      <c r="G29" s="31"/>
      <c r="H29" s="31"/>
      <c r="I29" s="33"/>
      <c r="J29" s="33"/>
      <c r="K29" s="31"/>
      <c r="L29" s="31"/>
      <c r="M29" s="31"/>
      <c r="N29" s="31"/>
      <c r="O29" s="32"/>
      <c r="P29" s="32"/>
      <c r="Q29" s="32"/>
      <c r="R29" s="32"/>
      <c r="S29" s="32"/>
      <c r="T29" s="32"/>
      <c r="U29" s="32"/>
      <c r="V29" s="32"/>
      <c r="W29" s="32"/>
      <c r="X29" s="32"/>
      <c r="Y29" s="32"/>
      <c r="Z29" s="32"/>
    </row>
    <row r="30" spans="1:26" ht="53.25" customHeight="1" x14ac:dyDescent="0.25">
      <c r="A30" s="22"/>
      <c r="C30" s="23"/>
      <c r="D30" s="23"/>
      <c r="E30" s="23" t="str">
        <f>'BGS PTY16 Cost Alloc'!$E$30</f>
        <v>2017 Forecasted Calendar Month Sales</v>
      </c>
      <c r="F30" s="23" t="s">
        <v>39</v>
      </c>
      <c r="G30" s="23" t="s">
        <v>39</v>
      </c>
      <c r="H30" s="23" t="str">
        <f>'BGS PTY16 Cost Alloc'!$E$30</f>
        <v>2017 Forecasted Calendar Month Sales</v>
      </c>
      <c r="I30" s="23" t="s">
        <v>39</v>
      </c>
      <c r="J30" s="23"/>
      <c r="K30" s="23"/>
      <c r="L30" s="23"/>
      <c r="M30" s="23"/>
      <c r="N30" s="17"/>
      <c r="O30" s="23"/>
      <c r="P30" s="23"/>
      <c r="Q30" s="23" t="str">
        <f>'BGS PTY16 Cost Alloc'!Q30</f>
        <v>2017 Forecasted Calendar Month Sales</v>
      </c>
      <c r="R30" s="23" t="s">
        <v>39</v>
      </c>
      <c r="S30" s="23" t="s">
        <v>39</v>
      </c>
      <c r="T30" s="23" t="str">
        <f>'BGS PTY16 Cost Alloc'!T30</f>
        <v>2017 Forecasted Calendar Month Sales</v>
      </c>
      <c r="U30" s="23" t="s">
        <v>39</v>
      </c>
      <c r="V30" s="23"/>
      <c r="W30" s="23"/>
      <c r="X30" s="23"/>
      <c r="Y30" s="23"/>
      <c r="Z30" s="23"/>
    </row>
    <row r="31" spans="1:26" x14ac:dyDescent="0.25">
      <c r="A31" s="22"/>
      <c r="B31" s="24" t="s">
        <v>190</v>
      </c>
      <c r="C31" s="26"/>
      <c r="D31" s="26"/>
      <c r="E31" s="26" t="str">
        <f>+E$13</f>
        <v>RT{1}</v>
      </c>
      <c r="F31" s="26" t="str">
        <f>+F$13</f>
        <v>RS{2}</v>
      </c>
      <c r="G31" s="26" t="str">
        <f>+G$13</f>
        <v>GS{3}</v>
      </c>
      <c r="H31" s="26" t="str">
        <f>+H$13</f>
        <v>GST</v>
      </c>
      <c r="I31" s="26" t="str">
        <f>+I$13</f>
        <v>OL/SL</v>
      </c>
      <c r="J31" s="26"/>
      <c r="K31" s="26"/>
      <c r="L31" s="26"/>
      <c r="M31" s="26"/>
      <c r="N31" s="27"/>
      <c r="O31" s="26"/>
      <c r="P31" s="26"/>
      <c r="Q31" s="26" t="str">
        <f>+Q$13</f>
        <v>RT{1}</v>
      </c>
      <c r="R31" s="26" t="str">
        <f>+R$13</f>
        <v>RS{2}</v>
      </c>
      <c r="S31" s="26" t="str">
        <f>+S$13</f>
        <v>GS{3}</v>
      </c>
      <c r="T31" s="26" t="str">
        <f>+T$13</f>
        <v>GST</v>
      </c>
      <c r="U31" s="26" t="str">
        <f>+U$13</f>
        <v>OL/SL</v>
      </c>
      <c r="V31" s="26"/>
      <c r="W31" s="26"/>
      <c r="X31" s="26"/>
      <c r="Y31" s="26"/>
      <c r="Z31" s="26"/>
    </row>
    <row r="32" spans="1:26" x14ac:dyDescent="0.25">
      <c r="A32" s="22"/>
      <c r="O32" s="21"/>
      <c r="P32" s="21"/>
      <c r="Q32" s="21"/>
      <c r="R32" s="21"/>
      <c r="S32" s="21"/>
      <c r="T32" s="21"/>
      <c r="U32" s="21"/>
      <c r="V32" s="21"/>
      <c r="W32" s="21"/>
      <c r="X32" s="21"/>
      <c r="Y32" s="21"/>
      <c r="Z32" s="21"/>
    </row>
    <row r="33" spans="1:26" x14ac:dyDescent="0.25">
      <c r="A33" s="22"/>
      <c r="B33" s="28" t="s">
        <v>1</v>
      </c>
      <c r="C33" s="35"/>
      <c r="D33" s="136"/>
      <c r="E33" s="154">
        <f>'BGS PTY16 Cost Alloc'!E33</f>
        <v>0.3584</v>
      </c>
      <c r="F33" s="157" t="s">
        <v>40</v>
      </c>
      <c r="G33" s="157" t="s">
        <v>40</v>
      </c>
      <c r="H33" s="154">
        <f>'BGS PTY16 Cost Alloc'!H33</f>
        <v>0.42409999999999998</v>
      </c>
      <c r="I33" s="157" t="s">
        <v>40</v>
      </c>
      <c r="J33" s="35"/>
      <c r="K33" s="35"/>
      <c r="L33" s="31"/>
      <c r="M33" s="30"/>
      <c r="N33" s="31"/>
      <c r="O33" s="32"/>
      <c r="P33" s="32"/>
      <c r="Q33" s="32">
        <f t="shared" ref="Q33:Q44" si="5">1-E33</f>
        <v>0.64159999999999995</v>
      </c>
      <c r="R33" s="32"/>
      <c r="S33" s="32"/>
      <c r="T33" s="32">
        <f t="shared" ref="T33:T44" si="6">1-H33</f>
        <v>0.57590000000000008</v>
      </c>
      <c r="U33" s="32"/>
      <c r="V33" s="32"/>
      <c r="W33" s="32"/>
      <c r="X33" s="32"/>
      <c r="Y33" s="32"/>
      <c r="Z33" s="32"/>
    </row>
    <row r="34" spans="1:26" x14ac:dyDescent="0.25">
      <c r="A34" s="22"/>
      <c r="B34" s="28" t="s">
        <v>2</v>
      </c>
      <c r="C34" s="35"/>
      <c r="D34" s="136"/>
      <c r="E34" s="154">
        <f>'BGS PTY16 Cost Alloc'!E34</f>
        <v>0.35410000000000003</v>
      </c>
      <c r="F34" s="157" t="s">
        <v>40</v>
      </c>
      <c r="G34" s="157" t="s">
        <v>40</v>
      </c>
      <c r="H34" s="154">
        <f>'BGS PTY16 Cost Alloc'!H34</f>
        <v>0.42849999999999999</v>
      </c>
      <c r="I34" s="157" t="s">
        <v>40</v>
      </c>
      <c r="J34" s="35"/>
      <c r="K34" s="35"/>
      <c r="L34" s="31"/>
      <c r="M34" s="30"/>
      <c r="N34" s="31"/>
      <c r="O34" s="32"/>
      <c r="P34" s="32"/>
      <c r="Q34" s="32">
        <f t="shared" si="5"/>
        <v>0.64589999999999992</v>
      </c>
      <c r="R34" s="32"/>
      <c r="S34" s="32"/>
      <c r="T34" s="32">
        <f t="shared" si="6"/>
        <v>0.57150000000000001</v>
      </c>
      <c r="U34" s="32"/>
      <c r="V34" s="32"/>
      <c r="W34" s="32"/>
      <c r="X34" s="32"/>
      <c r="Y34" s="32"/>
      <c r="Z34" s="32"/>
    </row>
    <row r="35" spans="1:26" x14ac:dyDescent="0.25">
      <c r="A35" s="22"/>
      <c r="B35" s="28" t="s">
        <v>3</v>
      </c>
      <c r="C35" s="35"/>
      <c r="D35" s="136"/>
      <c r="E35" s="154">
        <f>'BGS PTY16 Cost Alloc'!E35</f>
        <v>0.3473</v>
      </c>
      <c r="F35" s="157" t="s">
        <v>40</v>
      </c>
      <c r="G35" s="157" t="s">
        <v>40</v>
      </c>
      <c r="H35" s="154">
        <f>'BGS PTY16 Cost Alloc'!H35</f>
        <v>0.42820000000000003</v>
      </c>
      <c r="I35" s="157" t="s">
        <v>40</v>
      </c>
      <c r="J35" s="35"/>
      <c r="K35" s="35"/>
      <c r="L35" s="31"/>
      <c r="M35" s="30"/>
      <c r="N35" s="31"/>
      <c r="O35" s="32"/>
      <c r="P35" s="32"/>
      <c r="Q35" s="32">
        <f t="shared" si="5"/>
        <v>0.65270000000000006</v>
      </c>
      <c r="R35" s="32"/>
      <c r="S35" s="32"/>
      <c r="T35" s="32">
        <f t="shared" si="6"/>
        <v>0.57179999999999997</v>
      </c>
      <c r="U35" s="32"/>
      <c r="V35" s="32"/>
      <c r="W35" s="32"/>
      <c r="X35" s="32"/>
      <c r="Y35" s="32"/>
      <c r="Z35" s="32"/>
    </row>
    <row r="36" spans="1:26" x14ac:dyDescent="0.25">
      <c r="A36" s="22"/>
      <c r="B36" s="28" t="s">
        <v>4</v>
      </c>
      <c r="C36" s="35"/>
      <c r="D36" s="136"/>
      <c r="E36" s="154">
        <f>'BGS PTY16 Cost Alloc'!E36</f>
        <v>0.3468</v>
      </c>
      <c r="F36" s="157" t="s">
        <v>40</v>
      </c>
      <c r="G36" s="157" t="s">
        <v>40</v>
      </c>
      <c r="H36" s="154">
        <f>'BGS PTY16 Cost Alloc'!H36</f>
        <v>0.44019999999999998</v>
      </c>
      <c r="I36" s="157" t="s">
        <v>40</v>
      </c>
      <c r="J36" s="35"/>
      <c r="K36" s="35"/>
      <c r="L36" s="31"/>
      <c r="M36" s="30"/>
      <c r="N36" s="31"/>
      <c r="O36" s="32"/>
      <c r="P36" s="32"/>
      <c r="Q36" s="32">
        <f t="shared" si="5"/>
        <v>0.6532</v>
      </c>
      <c r="R36" s="32"/>
      <c r="S36" s="32"/>
      <c r="T36" s="32">
        <f t="shared" si="6"/>
        <v>0.55980000000000008</v>
      </c>
      <c r="U36" s="32"/>
      <c r="V36" s="32"/>
      <c r="W36" s="32"/>
      <c r="X36" s="32"/>
      <c r="Y36" s="32"/>
      <c r="Z36" s="32"/>
    </row>
    <row r="37" spans="1:26" x14ac:dyDescent="0.25">
      <c r="A37" s="22"/>
      <c r="B37" s="28" t="s">
        <v>5</v>
      </c>
      <c r="C37" s="35"/>
      <c r="D37" s="136"/>
      <c r="E37" s="154">
        <f>'BGS PTY16 Cost Alloc'!E37</f>
        <v>0.3669</v>
      </c>
      <c r="F37" s="157" t="s">
        <v>40</v>
      </c>
      <c r="G37" s="157" t="s">
        <v>40</v>
      </c>
      <c r="H37" s="154">
        <f>'BGS PTY16 Cost Alloc'!H37</f>
        <v>0.4551</v>
      </c>
      <c r="I37" s="157" t="s">
        <v>40</v>
      </c>
      <c r="J37" s="35"/>
      <c r="K37" s="35"/>
      <c r="L37" s="31"/>
      <c r="M37" s="30"/>
      <c r="N37" s="31"/>
      <c r="O37" s="32"/>
      <c r="P37" s="32"/>
      <c r="Q37" s="32">
        <f t="shared" si="5"/>
        <v>0.6331</v>
      </c>
      <c r="R37" s="32"/>
      <c r="S37" s="32"/>
      <c r="T37" s="32">
        <f t="shared" si="6"/>
        <v>0.54489999999999994</v>
      </c>
      <c r="U37" s="32"/>
      <c r="V37" s="32"/>
      <c r="W37" s="32"/>
      <c r="X37" s="32"/>
      <c r="Y37" s="32"/>
      <c r="Z37" s="32"/>
    </row>
    <row r="38" spans="1:26" x14ac:dyDescent="0.25">
      <c r="A38" s="22"/>
      <c r="B38" s="28" t="s">
        <v>6</v>
      </c>
      <c r="C38" s="35"/>
      <c r="D38" s="136"/>
      <c r="E38" s="154">
        <f>'BGS PTY16 Cost Alloc'!E38</f>
        <v>0.3992</v>
      </c>
      <c r="F38" s="157" t="s">
        <v>40</v>
      </c>
      <c r="G38" s="157" t="s">
        <v>40</v>
      </c>
      <c r="H38" s="154">
        <f>'BGS PTY16 Cost Alloc'!H38</f>
        <v>0.46310000000000001</v>
      </c>
      <c r="I38" s="157" t="s">
        <v>40</v>
      </c>
      <c r="J38" s="35"/>
      <c r="K38" s="35"/>
      <c r="L38" s="31"/>
      <c r="M38" s="30"/>
      <c r="N38" s="31"/>
      <c r="O38" s="32"/>
      <c r="P38" s="32"/>
      <c r="Q38" s="32">
        <f t="shared" si="5"/>
        <v>0.6008</v>
      </c>
      <c r="R38" s="32"/>
      <c r="S38" s="32"/>
      <c r="T38" s="32">
        <f t="shared" si="6"/>
        <v>0.53689999999999993</v>
      </c>
      <c r="U38" s="32"/>
      <c r="V38" s="32"/>
      <c r="W38" s="32"/>
      <c r="X38" s="32"/>
      <c r="Y38" s="32"/>
      <c r="Z38" s="32"/>
    </row>
    <row r="39" spans="1:26" x14ac:dyDescent="0.25">
      <c r="A39" s="22"/>
      <c r="B39" s="28" t="s">
        <v>7</v>
      </c>
      <c r="C39" s="35"/>
      <c r="D39" s="136"/>
      <c r="E39" s="154">
        <f>'BGS PTY16 Cost Alloc'!E39</f>
        <v>0.41589999999999999</v>
      </c>
      <c r="F39" s="157" t="s">
        <v>40</v>
      </c>
      <c r="G39" s="157" t="s">
        <v>40</v>
      </c>
      <c r="H39" s="154">
        <f>'BGS PTY16 Cost Alloc'!H39</f>
        <v>0.47170000000000001</v>
      </c>
      <c r="I39" s="157" t="s">
        <v>40</v>
      </c>
      <c r="J39" s="35"/>
      <c r="K39" s="35"/>
      <c r="L39" s="31"/>
      <c r="M39" s="30"/>
      <c r="N39" s="31"/>
      <c r="O39" s="32"/>
      <c r="P39" s="32"/>
      <c r="Q39" s="32">
        <f t="shared" si="5"/>
        <v>0.58410000000000006</v>
      </c>
      <c r="R39" s="32"/>
      <c r="S39" s="32"/>
      <c r="T39" s="32">
        <f t="shared" si="6"/>
        <v>0.52829999999999999</v>
      </c>
      <c r="U39" s="32"/>
      <c r="V39" s="32"/>
      <c r="W39" s="32"/>
      <c r="X39" s="32"/>
      <c r="Y39" s="32"/>
      <c r="Z39" s="32"/>
    </row>
    <row r="40" spans="1:26" x14ac:dyDescent="0.25">
      <c r="A40" s="22"/>
      <c r="B40" s="28" t="s">
        <v>8</v>
      </c>
      <c r="C40" s="35"/>
      <c r="D40" s="136"/>
      <c r="E40" s="154">
        <f>'BGS PTY16 Cost Alloc'!E40</f>
        <v>0.41589999999999999</v>
      </c>
      <c r="F40" s="157" t="s">
        <v>40</v>
      </c>
      <c r="G40" s="157" t="s">
        <v>40</v>
      </c>
      <c r="H40" s="154">
        <f>'BGS PTY16 Cost Alloc'!H40</f>
        <v>0.4662</v>
      </c>
      <c r="I40" s="157" t="s">
        <v>40</v>
      </c>
      <c r="J40" s="35"/>
      <c r="K40" s="35"/>
      <c r="L40" s="31"/>
      <c r="M40" s="30"/>
      <c r="N40" s="31"/>
      <c r="O40" s="32"/>
      <c r="P40" s="32"/>
      <c r="Q40" s="32">
        <f t="shared" si="5"/>
        <v>0.58410000000000006</v>
      </c>
      <c r="R40" s="32"/>
      <c r="S40" s="32"/>
      <c r="T40" s="32">
        <f t="shared" si="6"/>
        <v>0.53380000000000005</v>
      </c>
      <c r="U40" s="32"/>
      <c r="V40" s="32"/>
      <c r="W40" s="32"/>
      <c r="X40" s="32"/>
      <c r="Y40" s="32"/>
      <c r="Z40" s="32"/>
    </row>
    <row r="41" spans="1:26" x14ac:dyDescent="0.25">
      <c r="A41" s="22"/>
      <c r="B41" s="28" t="s">
        <v>9</v>
      </c>
      <c r="C41" s="35"/>
      <c r="D41" s="136"/>
      <c r="E41" s="154">
        <f>'BGS PTY16 Cost Alloc'!E41</f>
        <v>0.4007</v>
      </c>
      <c r="F41" s="157" t="s">
        <v>40</v>
      </c>
      <c r="G41" s="157" t="s">
        <v>40</v>
      </c>
      <c r="H41" s="154">
        <f>'BGS PTY16 Cost Alloc'!H41</f>
        <v>0.46100000000000002</v>
      </c>
      <c r="I41" s="157" t="s">
        <v>40</v>
      </c>
      <c r="J41" s="35"/>
      <c r="K41" s="35"/>
      <c r="L41" s="31"/>
      <c r="M41" s="30"/>
      <c r="N41" s="31"/>
      <c r="O41" s="32"/>
      <c r="P41" s="32"/>
      <c r="Q41" s="32">
        <f t="shared" si="5"/>
        <v>0.59929999999999994</v>
      </c>
      <c r="R41" s="32"/>
      <c r="S41" s="32"/>
      <c r="T41" s="32">
        <f t="shared" si="6"/>
        <v>0.53899999999999992</v>
      </c>
      <c r="U41" s="32"/>
      <c r="V41" s="32"/>
      <c r="W41" s="32"/>
      <c r="X41" s="32"/>
      <c r="Y41" s="32"/>
      <c r="Z41" s="32"/>
    </row>
    <row r="42" spans="1:26" x14ac:dyDescent="0.25">
      <c r="A42" s="22"/>
      <c r="B42" s="28" t="s">
        <v>10</v>
      </c>
      <c r="C42" s="35"/>
      <c r="D42" s="136"/>
      <c r="E42" s="154">
        <f>'BGS PTY16 Cost Alloc'!E42</f>
        <v>0.3664</v>
      </c>
      <c r="F42" s="157" t="s">
        <v>40</v>
      </c>
      <c r="G42" s="157" t="s">
        <v>40</v>
      </c>
      <c r="H42" s="154">
        <f>'BGS PTY16 Cost Alloc'!H42</f>
        <v>0.46050000000000002</v>
      </c>
      <c r="I42" s="157" t="s">
        <v>40</v>
      </c>
      <c r="J42" s="35"/>
      <c r="K42" s="35"/>
      <c r="L42" s="31"/>
      <c r="M42" s="30"/>
      <c r="N42" s="31"/>
      <c r="O42" s="32"/>
      <c r="P42" s="32"/>
      <c r="Q42" s="32">
        <f t="shared" si="5"/>
        <v>0.63359999999999994</v>
      </c>
      <c r="R42" s="32"/>
      <c r="S42" s="32"/>
      <c r="T42" s="32">
        <f t="shared" si="6"/>
        <v>0.53949999999999998</v>
      </c>
      <c r="U42" s="32"/>
      <c r="V42" s="32"/>
      <c r="W42" s="32"/>
      <c r="X42" s="32"/>
      <c r="Y42" s="32"/>
      <c r="Z42" s="32"/>
    </row>
    <row r="43" spans="1:26" x14ac:dyDescent="0.25">
      <c r="A43" s="22"/>
      <c r="B43" s="28" t="s">
        <v>11</v>
      </c>
      <c r="C43" s="35"/>
      <c r="D43" s="136"/>
      <c r="E43" s="154">
        <f>'BGS PTY16 Cost Alloc'!E43</f>
        <v>0.3518</v>
      </c>
      <c r="F43" s="157" t="s">
        <v>40</v>
      </c>
      <c r="G43" s="157" t="s">
        <v>40</v>
      </c>
      <c r="H43" s="154">
        <f>'BGS PTY16 Cost Alloc'!H43</f>
        <v>0.45450000000000002</v>
      </c>
      <c r="I43" s="157" t="s">
        <v>40</v>
      </c>
      <c r="J43" s="35"/>
      <c r="K43" s="35"/>
      <c r="L43" s="31"/>
      <c r="M43" s="30"/>
      <c r="N43" s="31"/>
      <c r="O43" s="32"/>
      <c r="P43" s="32"/>
      <c r="Q43" s="32">
        <f t="shared" si="5"/>
        <v>0.6482</v>
      </c>
      <c r="R43" s="32"/>
      <c r="S43" s="32"/>
      <c r="T43" s="32">
        <f t="shared" si="6"/>
        <v>0.54549999999999998</v>
      </c>
      <c r="U43" s="32"/>
      <c r="V43" s="32"/>
      <c r="W43" s="32"/>
      <c r="X43" s="32"/>
      <c r="Y43" s="32"/>
      <c r="Z43" s="32"/>
    </row>
    <row r="44" spans="1:26" x14ac:dyDescent="0.25">
      <c r="A44" s="22"/>
      <c r="B44" s="28" t="s">
        <v>12</v>
      </c>
      <c r="C44" s="35"/>
      <c r="D44" s="136"/>
      <c r="E44" s="154">
        <f>'BGS PTY16 Cost Alloc'!E44</f>
        <v>0.35589999999999999</v>
      </c>
      <c r="F44" s="157" t="s">
        <v>40</v>
      </c>
      <c r="G44" s="157" t="s">
        <v>40</v>
      </c>
      <c r="H44" s="154">
        <f>'BGS PTY16 Cost Alloc'!H44</f>
        <v>0.43369999999999997</v>
      </c>
      <c r="I44" s="157" t="s">
        <v>40</v>
      </c>
      <c r="J44" s="35"/>
      <c r="K44" s="35"/>
      <c r="L44" s="31"/>
      <c r="M44" s="30"/>
      <c r="N44" s="31"/>
      <c r="O44" s="32"/>
      <c r="P44" s="32"/>
      <c r="Q44" s="32">
        <f t="shared" si="5"/>
        <v>0.64410000000000001</v>
      </c>
      <c r="R44" s="32"/>
      <c r="S44" s="32"/>
      <c r="T44" s="32">
        <f t="shared" si="6"/>
        <v>0.56630000000000003</v>
      </c>
      <c r="U44" s="32"/>
      <c r="V44" s="32"/>
      <c r="W44" s="32"/>
      <c r="X44" s="32"/>
      <c r="Y44" s="32"/>
      <c r="Z44" s="32"/>
    </row>
    <row r="45" spans="1:26" x14ac:dyDescent="0.25">
      <c r="A45" s="22"/>
      <c r="B45" s="28"/>
      <c r="C45" s="35"/>
      <c r="D45" s="35"/>
      <c r="E45" s="35"/>
      <c r="F45" s="35"/>
      <c r="G45" s="35"/>
      <c r="H45" s="35"/>
      <c r="I45" s="35"/>
      <c r="J45" s="35"/>
      <c r="K45" s="35"/>
      <c r="L45" s="31"/>
      <c r="M45" s="30"/>
      <c r="N45" s="31"/>
      <c r="O45" s="32"/>
      <c r="P45" s="32"/>
      <c r="Q45" s="32"/>
      <c r="R45" s="32"/>
      <c r="S45" s="32"/>
      <c r="T45" s="32"/>
      <c r="U45" s="32"/>
      <c r="V45" s="32"/>
      <c r="W45" s="32"/>
      <c r="X45" s="32"/>
      <c r="Y45" s="32"/>
      <c r="Z45" s="32"/>
    </row>
    <row r="46" spans="1:26" x14ac:dyDescent="0.25">
      <c r="A46" s="22"/>
      <c r="B46" s="36" t="s">
        <v>202</v>
      </c>
      <c r="C46" s="35"/>
      <c r="D46" s="35"/>
      <c r="E46" s="35"/>
      <c r="F46" s="35"/>
      <c r="G46" s="35"/>
      <c r="H46" s="35"/>
      <c r="I46" s="35"/>
      <c r="J46" s="35"/>
      <c r="K46" s="35"/>
      <c r="L46" s="31"/>
      <c r="M46" s="30"/>
      <c r="N46" s="31"/>
      <c r="O46" s="32"/>
      <c r="P46" s="32"/>
      <c r="Q46" s="32"/>
      <c r="R46" s="32"/>
      <c r="S46" s="32"/>
      <c r="T46" s="32"/>
      <c r="U46" s="32"/>
      <c r="V46" s="32"/>
      <c r="W46" s="32"/>
      <c r="X46" s="32"/>
      <c r="Y46" s="32"/>
      <c r="Z46" s="32"/>
    </row>
    <row r="47" spans="1:26" x14ac:dyDescent="0.25">
      <c r="A47" s="22"/>
      <c r="B47" s="36" t="s">
        <v>213</v>
      </c>
      <c r="C47" s="31"/>
      <c r="D47" s="31"/>
      <c r="E47" s="31"/>
      <c r="F47" s="31"/>
      <c r="G47" s="31"/>
      <c r="H47" s="31"/>
      <c r="I47" s="33"/>
      <c r="J47" s="33"/>
      <c r="K47" s="31"/>
      <c r="L47" s="31"/>
      <c r="M47" s="31"/>
      <c r="N47" s="31"/>
      <c r="O47" s="32"/>
      <c r="P47" s="32"/>
      <c r="Q47" s="32"/>
      <c r="R47" s="32"/>
      <c r="S47" s="32"/>
      <c r="T47" s="32"/>
      <c r="U47" s="32"/>
      <c r="V47" s="32"/>
      <c r="W47" s="32"/>
      <c r="X47" s="32"/>
      <c r="Y47" s="32"/>
      <c r="Z47" s="32"/>
    </row>
    <row r="48" spans="1:26" x14ac:dyDescent="0.25">
      <c r="A48" s="22"/>
      <c r="B48" s="36" t="s">
        <v>66</v>
      </c>
      <c r="C48" s="31"/>
      <c r="D48" s="31"/>
      <c r="E48" s="31"/>
      <c r="F48" s="31"/>
      <c r="G48" s="31"/>
      <c r="H48" s="31"/>
      <c r="I48" s="33"/>
      <c r="J48" s="33"/>
      <c r="K48" s="31"/>
      <c r="L48" s="31"/>
      <c r="M48" s="31"/>
      <c r="N48" s="31"/>
      <c r="O48" s="32"/>
      <c r="P48" s="32"/>
      <c r="Q48" s="32"/>
      <c r="R48" s="32"/>
      <c r="S48" s="32"/>
      <c r="T48" s="32"/>
      <c r="U48" s="32"/>
      <c r="V48" s="32"/>
      <c r="W48" s="32"/>
      <c r="X48" s="32"/>
      <c r="Y48" s="32"/>
      <c r="Z48" s="32"/>
    </row>
    <row r="49" spans="1:33" x14ac:dyDescent="0.25">
      <c r="A49" s="22"/>
      <c r="B49" s="36" t="s">
        <v>67</v>
      </c>
      <c r="C49" s="31"/>
      <c r="D49" s="31"/>
      <c r="E49" s="31"/>
      <c r="F49" s="31"/>
      <c r="G49" s="31"/>
      <c r="H49" s="31"/>
      <c r="I49" s="33"/>
      <c r="J49" s="33"/>
      <c r="K49" s="31"/>
      <c r="L49" s="31"/>
      <c r="M49" s="31"/>
      <c r="N49" s="31"/>
      <c r="O49" s="32"/>
      <c r="P49" s="32"/>
      <c r="Q49" s="32"/>
      <c r="R49" s="32"/>
      <c r="S49" s="32"/>
      <c r="T49" s="32"/>
      <c r="U49" s="32"/>
      <c r="V49" s="32"/>
      <c r="W49" s="32"/>
      <c r="X49" s="32"/>
      <c r="Y49" s="32"/>
      <c r="Z49" s="32"/>
    </row>
    <row r="50" spans="1:33" x14ac:dyDescent="0.25">
      <c r="A50" s="22"/>
      <c r="B50" s="36" t="s">
        <v>68</v>
      </c>
      <c r="C50" s="31"/>
      <c r="D50" s="31"/>
      <c r="E50" s="31"/>
      <c r="F50" s="31"/>
      <c r="G50" s="31"/>
      <c r="H50" s="31"/>
      <c r="I50" s="33"/>
      <c r="J50" s="33"/>
      <c r="K50" s="31"/>
      <c r="L50" s="31"/>
      <c r="M50" s="31"/>
      <c r="N50" s="31"/>
      <c r="O50" s="32"/>
      <c r="P50" s="32"/>
      <c r="Q50" s="32"/>
      <c r="R50" s="32"/>
      <c r="S50" s="32"/>
      <c r="T50" s="32"/>
      <c r="U50" s="32"/>
      <c r="V50" s="32"/>
      <c r="W50" s="32"/>
      <c r="X50" s="32"/>
      <c r="Y50" s="32"/>
      <c r="Z50" s="32"/>
    </row>
    <row r="51" spans="1:33" x14ac:dyDescent="0.25">
      <c r="A51" s="22"/>
      <c r="B51" s="28"/>
      <c r="C51" s="31"/>
      <c r="D51" s="31"/>
      <c r="E51" s="31"/>
      <c r="F51" s="31"/>
      <c r="G51" s="31"/>
      <c r="H51" s="31"/>
      <c r="I51" s="33"/>
      <c r="J51" s="33"/>
      <c r="K51" s="31"/>
      <c r="L51" s="31"/>
      <c r="M51" s="31"/>
      <c r="N51" s="31"/>
      <c r="O51" s="32"/>
      <c r="P51" s="32"/>
      <c r="Q51" s="32"/>
      <c r="R51" s="32"/>
      <c r="S51" s="32"/>
      <c r="T51" s="32"/>
      <c r="U51" s="32"/>
      <c r="V51" s="32"/>
      <c r="W51" s="32"/>
      <c r="X51" s="32"/>
      <c r="Y51" s="32"/>
      <c r="Z51" s="32"/>
    </row>
    <row r="52" spans="1:33" ht="15.6" x14ac:dyDescent="0.3">
      <c r="A52" s="22"/>
      <c r="B52" s="534" t="str">
        <f>$B$1</f>
        <v xml:space="preserve">Jersey Central Power &amp; Light </v>
      </c>
      <c r="C52" s="534"/>
      <c r="D52" s="534"/>
      <c r="E52" s="534"/>
      <c r="F52" s="534"/>
      <c r="G52" s="534"/>
      <c r="H52" s="534"/>
      <c r="I52" s="534"/>
      <c r="J52" s="534"/>
      <c r="K52" s="534"/>
      <c r="L52" s="534"/>
      <c r="M52" s="31"/>
      <c r="N52" s="31"/>
      <c r="O52" s="32"/>
      <c r="P52" s="32"/>
      <c r="Q52" s="32"/>
      <c r="R52" s="32"/>
      <c r="S52" s="32"/>
      <c r="T52" s="32"/>
      <c r="U52" s="32"/>
      <c r="V52" s="32"/>
      <c r="W52" s="32"/>
      <c r="X52" s="32"/>
      <c r="Y52" s="32"/>
      <c r="Z52" s="32"/>
    </row>
    <row r="53" spans="1:33" ht="15.6" x14ac:dyDescent="0.3">
      <c r="A53" s="22"/>
      <c r="B53" s="534" t="str">
        <f>$B$2</f>
        <v>Attachment 2</v>
      </c>
      <c r="C53" s="534"/>
      <c r="D53" s="534"/>
      <c r="E53" s="534"/>
      <c r="F53" s="534"/>
      <c r="G53" s="534"/>
      <c r="H53" s="534"/>
      <c r="I53" s="534"/>
      <c r="J53" s="534"/>
      <c r="K53" s="534"/>
      <c r="L53" s="534"/>
      <c r="M53" s="31"/>
      <c r="N53" s="31"/>
      <c r="O53" s="32"/>
      <c r="P53" s="32"/>
      <c r="Q53" s="32"/>
      <c r="R53" s="32"/>
      <c r="S53" s="32"/>
      <c r="T53" s="32"/>
      <c r="U53" s="32"/>
      <c r="V53" s="32"/>
      <c r="W53" s="32"/>
      <c r="X53" s="32"/>
      <c r="Y53" s="32"/>
      <c r="Z53" s="32"/>
    </row>
    <row r="54" spans="1:33" x14ac:dyDescent="0.25">
      <c r="A54" s="22"/>
      <c r="B54" s="28"/>
      <c r="C54" s="31"/>
      <c r="D54" s="31"/>
      <c r="E54" s="31"/>
      <c r="F54" s="31"/>
      <c r="G54" s="31"/>
      <c r="H54" s="31"/>
      <c r="I54" s="33"/>
      <c r="J54" s="33"/>
      <c r="K54" s="31"/>
      <c r="L54" s="31"/>
      <c r="M54" s="31"/>
      <c r="N54" s="31"/>
      <c r="O54" s="32"/>
      <c r="P54" s="32"/>
      <c r="Q54" s="32"/>
      <c r="R54" s="32"/>
      <c r="S54" s="32"/>
      <c r="T54" s="32"/>
      <c r="U54" s="32"/>
      <c r="V54" s="32"/>
      <c r="W54" s="32"/>
      <c r="X54" s="32"/>
      <c r="Y54" s="32"/>
      <c r="Z54" s="32"/>
    </row>
    <row r="55" spans="1:33" x14ac:dyDescent="0.25">
      <c r="A55" s="22"/>
      <c r="B55" s="28"/>
      <c r="C55" s="31"/>
      <c r="D55" s="31"/>
      <c r="E55" s="31"/>
      <c r="F55" s="31"/>
      <c r="G55" s="31"/>
      <c r="H55" s="31"/>
      <c r="I55" s="33"/>
      <c r="J55" s="33"/>
      <c r="K55" s="31"/>
      <c r="L55" s="31"/>
      <c r="M55" s="31"/>
      <c r="N55" s="31"/>
      <c r="O55" s="32"/>
      <c r="P55" s="32"/>
      <c r="Q55" s="32"/>
      <c r="R55" s="32"/>
      <c r="S55" s="32"/>
      <c r="T55" s="32"/>
      <c r="U55" s="32"/>
      <c r="V55" s="32"/>
      <c r="W55" s="171" t="str">
        <f>'BGS PTY16 Cost Alloc'!Y55</f>
        <v>Forecast 2017 Delivery MWh</v>
      </c>
      <c r="X55" s="172"/>
      <c r="Y55" s="172"/>
      <c r="Z55" s="31"/>
    </row>
    <row r="56" spans="1:33" x14ac:dyDescent="0.25">
      <c r="A56" s="18" t="s">
        <v>36</v>
      </c>
      <c r="B56" s="37" t="s">
        <v>48</v>
      </c>
      <c r="E56" s="31"/>
      <c r="F56" s="31"/>
      <c r="G56" s="31"/>
      <c r="H56" s="31"/>
      <c r="I56" s="33"/>
      <c r="J56" s="33"/>
      <c r="O56" s="16"/>
      <c r="W56" s="16"/>
      <c r="X56" s="16"/>
      <c r="Z56" s="169" t="s">
        <v>252</v>
      </c>
    </row>
    <row r="57" spans="1:33" x14ac:dyDescent="0.25">
      <c r="A57" s="22"/>
      <c r="B57" s="39" t="str">
        <f>'BGS PTY16 Cost Alloc'!$B$57</f>
        <v>calendar month sales forecasted for 2017</v>
      </c>
      <c r="N57" s="40"/>
      <c r="O57" s="41"/>
      <c r="P57" s="41"/>
      <c r="Q57" s="41" t="s">
        <v>129</v>
      </c>
      <c r="R57" s="41"/>
      <c r="S57" s="41"/>
      <c r="T57" s="41"/>
      <c r="U57" s="42"/>
      <c r="W57" s="26" t="s">
        <v>13</v>
      </c>
    </row>
    <row r="58" spans="1:33" x14ac:dyDescent="0.25">
      <c r="A58" s="22"/>
      <c r="B58" s="17" t="s">
        <v>38</v>
      </c>
      <c r="C58" s="26"/>
      <c r="D58" s="26"/>
      <c r="E58" s="26" t="str">
        <f>+E$13</f>
        <v>RT{1}</v>
      </c>
      <c r="F58" s="26" t="str">
        <f>+F$13</f>
        <v>RS{2}</v>
      </c>
      <c r="G58" s="26" t="str">
        <f>+G$13</f>
        <v>GS{3}</v>
      </c>
      <c r="H58" s="26" t="s">
        <v>203</v>
      </c>
      <c r="I58" s="26" t="str">
        <f>+I$13</f>
        <v>OL/SL</v>
      </c>
      <c r="J58" s="26" t="s">
        <v>13</v>
      </c>
      <c r="K58" s="26"/>
      <c r="L58" s="26"/>
      <c r="M58" s="26" t="s">
        <v>179</v>
      </c>
      <c r="N58" s="43"/>
      <c r="O58" s="44"/>
      <c r="P58" s="44"/>
      <c r="Q58" s="26" t="str">
        <f>+Q$13</f>
        <v>RT{1}</v>
      </c>
      <c r="R58" s="26" t="str">
        <f>+R$13</f>
        <v>RS{2}</v>
      </c>
      <c r="S58" s="26" t="str">
        <f>+S$13</f>
        <v>GS{3}</v>
      </c>
      <c r="T58" s="26" t="str">
        <f>+T$13</f>
        <v>GST</v>
      </c>
      <c r="U58" s="45" t="str">
        <f>+U$13</f>
        <v>OL/SL</v>
      </c>
      <c r="V58" s="26"/>
      <c r="W58" s="26" t="s">
        <v>59</v>
      </c>
      <c r="X58" s="26" t="s">
        <v>64</v>
      </c>
      <c r="Y58" s="26" t="s">
        <v>63</v>
      </c>
      <c r="Z58" s="26" t="s">
        <v>60</v>
      </c>
      <c r="AA58" s="26" t="s">
        <v>52</v>
      </c>
      <c r="AB58" s="26" t="s">
        <v>0</v>
      </c>
      <c r="AC58" s="26" t="s">
        <v>53</v>
      </c>
      <c r="AD58" s="26" t="s">
        <v>53</v>
      </c>
      <c r="AG58" s="26" t="s">
        <v>54</v>
      </c>
    </row>
    <row r="59" spans="1:33" x14ac:dyDescent="0.25">
      <c r="A59" s="22"/>
      <c r="M59" s="16" t="s">
        <v>180</v>
      </c>
      <c r="N59" s="46"/>
      <c r="O59" s="47"/>
      <c r="P59" s="47"/>
      <c r="Q59" s="47"/>
      <c r="R59" s="47"/>
      <c r="S59" s="47"/>
      <c r="T59" s="47"/>
      <c r="U59" s="48"/>
    </row>
    <row r="60" spans="1:33" x14ac:dyDescent="0.25">
      <c r="A60" s="22"/>
      <c r="B60" s="28" t="s">
        <v>1</v>
      </c>
      <c r="C60" s="49"/>
      <c r="D60" s="49"/>
      <c r="E60" s="50">
        <f>'BGS PTY16 Cost Alloc'!E60</f>
        <v>26171</v>
      </c>
      <c r="F60" s="50">
        <f>'BGS PTY16 Cost Alloc'!F60</f>
        <v>784725</v>
      </c>
      <c r="G60" s="50">
        <f>'BGS PTY16 Cost Alloc'!G60</f>
        <v>516906</v>
      </c>
      <c r="H60" s="50">
        <f>'BGS PTY16 Cost Alloc'!H60</f>
        <v>13999</v>
      </c>
      <c r="I60" s="50">
        <f>'BGS PTY16 Cost Alloc'!I60</f>
        <v>9553</v>
      </c>
      <c r="J60" s="50">
        <f t="shared" ref="J60:J72" si="7">SUM(E60:I60)</f>
        <v>1351354</v>
      </c>
      <c r="K60" s="49"/>
      <c r="L60" s="49"/>
      <c r="M60" s="50">
        <f t="shared" ref="M60:M71" si="8">E60-ROUND(SUM($W60/1000),0)</f>
        <v>25608</v>
      </c>
      <c r="N60" s="51" t="s">
        <v>28</v>
      </c>
      <c r="O60" s="52"/>
      <c r="P60" s="53"/>
      <c r="Q60" s="53">
        <f>SUM(E60:E64,E69:E71)</f>
        <v>159889</v>
      </c>
      <c r="R60" s="53">
        <f>SUM(F60:F64,F69:F71)</f>
        <v>5157543</v>
      </c>
      <c r="S60" s="53">
        <f>SUM(G60:G64,G69:G71)</f>
        <v>3796476</v>
      </c>
      <c r="T60" s="53">
        <f>SUM(H60:H64,H69:H71)</f>
        <v>85407</v>
      </c>
      <c r="U60" s="54">
        <f>SUM(I60:I64,I69:I71)</f>
        <v>76214</v>
      </c>
      <c r="V60" s="170">
        <f>'BGS PTY16 Cost Alloc'!V60</f>
        <v>42736</v>
      </c>
      <c r="W60" s="50">
        <f>'BGS PTY16 Cost Alloc'!W60</f>
        <v>563224.15212279989</v>
      </c>
      <c r="X60" s="50">
        <f>'BGS PTY16 Cost Alloc'!X60</f>
        <v>5091.3203364000001</v>
      </c>
      <c r="Y60" s="55">
        <f t="shared" ref="Y60:Y71" si="9">W60-X60</f>
        <v>558132.83178639994</v>
      </c>
      <c r="Z60" s="50">
        <f>'BGS PTY16 Cost Alloc'!Z60</f>
        <v>2909026.0591469002</v>
      </c>
      <c r="AA60" s="50">
        <f>'BGS PTY16 Cost Alloc'!AA60</f>
        <v>25607.5306299972</v>
      </c>
      <c r="AB60" s="50">
        <f>'BGS PTY16 Cost Alloc'!AB60</f>
        <v>781816.44260680105</v>
      </c>
      <c r="AC60" s="50">
        <f>'BGS PTY16 Cost Alloc'!AC60</f>
        <v>516911.07241712499</v>
      </c>
      <c r="AD60" s="50">
        <f>'BGS PTY16 Cost Alloc'!AD60</f>
        <v>570015.582417125</v>
      </c>
      <c r="AG60" s="50">
        <f>'BGS PTY16 Cost Alloc'!AG60</f>
        <v>13998.864636318996</v>
      </c>
    </row>
    <row r="61" spans="1:33" x14ac:dyDescent="0.25">
      <c r="A61" s="22"/>
      <c r="B61" s="28" t="s">
        <v>2</v>
      </c>
      <c r="C61" s="49"/>
      <c r="D61" s="49"/>
      <c r="E61" s="50">
        <f>'BGS PTY16 Cost Alloc'!E61</f>
        <v>26904</v>
      </c>
      <c r="F61" s="50">
        <f>'BGS PTY16 Cost Alloc'!F61</f>
        <v>744046</v>
      </c>
      <c r="G61" s="50">
        <f>'BGS PTY16 Cost Alloc'!G61</f>
        <v>494196</v>
      </c>
      <c r="H61" s="50">
        <f>'BGS PTY16 Cost Alloc'!H61</f>
        <v>12248</v>
      </c>
      <c r="I61" s="50">
        <f>'BGS PTY16 Cost Alloc'!I61</f>
        <v>9547</v>
      </c>
      <c r="J61" s="50">
        <f t="shared" si="7"/>
        <v>1286941</v>
      </c>
      <c r="K61" s="49"/>
      <c r="L61" s="49"/>
      <c r="M61" s="50">
        <f t="shared" si="8"/>
        <v>26347</v>
      </c>
      <c r="N61" s="51"/>
      <c r="O61" s="52"/>
      <c r="P61" s="114" t="s">
        <v>193</v>
      </c>
      <c r="Q61" s="53">
        <f>SUMPRODUCT(E33:E37,M60:M64)+SUMPRODUCT(E42:E44,M69:M71)</f>
        <v>55263.197499999995</v>
      </c>
      <c r="R61" s="47"/>
      <c r="S61" s="132" t="s">
        <v>177</v>
      </c>
      <c r="T61" s="53">
        <f>SUMPRODUCT(H33:H37,H60:H64)+SUMPRODUCT(H42:H44,H69:H71)</f>
        <v>37452.340899999996</v>
      </c>
      <c r="U61" s="48">
        <f>T61/T60</f>
        <v>0.43851605723184278</v>
      </c>
      <c r="V61" s="170">
        <f>'BGS PTY16 Cost Alloc'!V61</f>
        <v>42767</v>
      </c>
      <c r="W61" s="50">
        <f>'BGS PTY16 Cost Alloc'!W61</f>
        <v>556619.33764169994</v>
      </c>
      <c r="X61" s="50">
        <f>'BGS PTY16 Cost Alloc'!X61</f>
        <v>5038.5629229999995</v>
      </c>
      <c r="Y61" s="55">
        <f t="shared" si="9"/>
        <v>551580.77471869998</v>
      </c>
      <c r="Z61" s="50">
        <f>'BGS PTY16 Cost Alloc'!Z61</f>
        <v>1861164.6516640999</v>
      </c>
      <c r="AA61" s="50">
        <f>'BGS PTY16 Cost Alloc'!AA61</f>
        <v>26346.7848500609</v>
      </c>
      <c r="AB61" s="50">
        <f>'BGS PTY16 Cost Alloc'!AB61</f>
        <v>742185.40249827504</v>
      </c>
      <c r="AC61" s="50">
        <f>'BGS PTY16 Cost Alloc'!AC61</f>
        <v>494200.51469542889</v>
      </c>
      <c r="AD61" s="50">
        <f>'BGS PTY16 Cost Alloc'!AD61</f>
        <v>548756.12069542892</v>
      </c>
      <c r="AG61" s="50">
        <f>'BGS PTY16 Cost Alloc'!AG61</f>
        <v>12248.231417547599</v>
      </c>
    </row>
    <row r="62" spans="1:33" x14ac:dyDescent="0.25">
      <c r="A62" s="22"/>
      <c r="B62" s="28" t="s">
        <v>3</v>
      </c>
      <c r="C62" s="49"/>
      <c r="D62" s="49"/>
      <c r="E62" s="50">
        <f>'BGS PTY16 Cost Alloc'!E62</f>
        <v>24655</v>
      </c>
      <c r="F62" s="50">
        <f>'BGS PTY16 Cost Alloc'!F62</f>
        <v>671272</v>
      </c>
      <c r="G62" s="50">
        <f>'BGS PTY16 Cost Alloc'!G62</f>
        <v>507438</v>
      </c>
      <c r="H62" s="50">
        <f>'BGS PTY16 Cost Alloc'!H62</f>
        <v>13393</v>
      </c>
      <c r="I62" s="50">
        <f>'BGS PTY16 Cost Alloc'!I62</f>
        <v>9542</v>
      </c>
      <c r="J62" s="50">
        <f t="shared" si="7"/>
        <v>1226300</v>
      </c>
      <c r="K62" s="49"/>
      <c r="L62" s="49"/>
      <c r="M62" s="50">
        <f t="shared" si="8"/>
        <v>24104</v>
      </c>
      <c r="N62" s="51"/>
      <c r="O62" s="52"/>
      <c r="P62" s="114" t="s">
        <v>194</v>
      </c>
      <c r="Q62" s="53">
        <f>SUMPRODUCT(Q33:Q37,M60:M64)+SUMPRODUCT(Q42:Q44,M69:M71)</f>
        <v>100381.80249999999</v>
      </c>
      <c r="R62" s="47"/>
      <c r="S62" s="132" t="s">
        <v>178</v>
      </c>
      <c r="T62" s="53">
        <f>+T60-T61</f>
        <v>47954.659100000004</v>
      </c>
      <c r="U62" s="48"/>
      <c r="V62" s="170">
        <f>'BGS PTY16 Cost Alloc'!V62</f>
        <v>42795</v>
      </c>
      <c r="W62" s="50">
        <f>'BGS PTY16 Cost Alloc'!W62</f>
        <v>550558.04975850007</v>
      </c>
      <c r="X62" s="50">
        <f>'BGS PTY16 Cost Alloc'!X62</f>
        <v>4987.4737877000007</v>
      </c>
      <c r="Y62" s="55">
        <f t="shared" si="9"/>
        <v>545570.57597080013</v>
      </c>
      <c r="Z62" s="50">
        <f>'BGS PTY16 Cost Alloc'!Z62</f>
        <v>1652183.1614411999</v>
      </c>
      <c r="AA62" s="50">
        <f>'BGS PTY16 Cost Alloc'!AA62</f>
        <v>24103.669767501899</v>
      </c>
      <c r="AB62" s="50">
        <f>'BGS PTY16 Cost Alloc'!AB62</f>
        <v>669620.43207105692</v>
      </c>
      <c r="AC62" s="50">
        <f>'BGS PTY16 Cost Alloc'!AC62</f>
        <v>507442.52060739906</v>
      </c>
      <c r="AD62" s="50">
        <f>'BGS PTY16 Cost Alloc'!AD62</f>
        <v>561437.65260739904</v>
      </c>
      <c r="AG62" s="50">
        <f>'BGS PTY16 Cost Alloc'!AG62</f>
        <v>13393.039994937002</v>
      </c>
    </row>
    <row r="63" spans="1:33" x14ac:dyDescent="0.25">
      <c r="A63" s="22"/>
      <c r="B63" s="28" t="s">
        <v>4</v>
      </c>
      <c r="C63" s="49"/>
      <c r="D63" s="49"/>
      <c r="E63" s="50">
        <f>'BGS PTY16 Cost Alloc'!E63</f>
        <v>19703</v>
      </c>
      <c r="F63" s="50">
        <f>'BGS PTY16 Cost Alloc'!F63</f>
        <v>582601</v>
      </c>
      <c r="G63" s="50">
        <f>'BGS PTY16 Cost Alloc'!G63</f>
        <v>473980</v>
      </c>
      <c r="H63" s="50">
        <f>'BGS PTY16 Cost Alloc'!H63</f>
        <v>11851</v>
      </c>
      <c r="I63" s="50">
        <f>'BGS PTY16 Cost Alloc'!I63</f>
        <v>9537</v>
      </c>
      <c r="J63" s="50">
        <f t="shared" si="7"/>
        <v>1097672</v>
      </c>
      <c r="K63" s="49"/>
      <c r="L63" s="49"/>
      <c r="M63" s="50">
        <f t="shared" si="8"/>
        <v>19159</v>
      </c>
      <c r="N63" s="46"/>
      <c r="O63" s="47"/>
      <c r="P63" s="114" t="s">
        <v>195</v>
      </c>
      <c r="Q63" s="53">
        <f>SUM(W60:W64,W69:W71)/1000</f>
        <v>4242.5729285309999</v>
      </c>
      <c r="R63" s="47"/>
      <c r="S63" s="47"/>
      <c r="T63" s="47"/>
      <c r="U63" s="48"/>
      <c r="V63" s="170">
        <f>'BGS PTY16 Cost Alloc'!V63</f>
        <v>42826</v>
      </c>
      <c r="W63" s="50">
        <f>'BGS PTY16 Cost Alloc'!W63</f>
        <v>543710.40642109991</v>
      </c>
      <c r="X63" s="50">
        <f>'BGS PTY16 Cost Alloc'!X63</f>
        <v>4956.9007151000005</v>
      </c>
      <c r="Y63" s="55">
        <f t="shared" si="9"/>
        <v>538753.50570599991</v>
      </c>
      <c r="Z63" s="50">
        <f>'BGS PTY16 Cost Alloc'!Z63</f>
        <v>1250289.7638385</v>
      </c>
      <c r="AA63" s="50">
        <f>'BGS PTY16 Cost Alloc'!AA63</f>
        <v>19158.762448837198</v>
      </c>
      <c r="AB63" s="50">
        <f>'BGS PTY16 Cost Alloc'!AB63</f>
        <v>581350.88578732498</v>
      </c>
      <c r="AC63" s="50">
        <f>'BGS PTY16 Cost Alloc'!AC63</f>
        <v>473984.69475001597</v>
      </c>
      <c r="AD63" s="50">
        <f>'BGS PTY16 Cost Alloc'!AD63</f>
        <v>526322.49175001599</v>
      </c>
      <c r="AG63" s="50">
        <f>'BGS PTY16 Cost Alloc'!AG63</f>
        <v>11851.337002867296</v>
      </c>
    </row>
    <row r="64" spans="1:33" x14ac:dyDescent="0.25">
      <c r="A64" s="22"/>
      <c r="B64" s="28" t="s">
        <v>5</v>
      </c>
      <c r="C64" s="49"/>
      <c r="D64" s="49"/>
      <c r="E64" s="50">
        <f>'BGS PTY16 Cost Alloc'!E64</f>
        <v>14894</v>
      </c>
      <c r="F64" s="50">
        <f>'BGS PTY16 Cost Alloc'!F64</f>
        <v>533514</v>
      </c>
      <c r="G64" s="50">
        <f>'BGS PTY16 Cost Alloc'!G64</f>
        <v>442958</v>
      </c>
      <c r="H64" s="50">
        <f>'BGS PTY16 Cost Alloc'!H64</f>
        <v>9679</v>
      </c>
      <c r="I64" s="50">
        <f>'BGS PTY16 Cost Alloc'!I64</f>
        <v>9532</v>
      </c>
      <c r="J64" s="50">
        <f t="shared" si="7"/>
        <v>1010577</v>
      </c>
      <c r="K64" s="49"/>
      <c r="L64" s="49"/>
      <c r="M64" s="50">
        <f t="shared" si="8"/>
        <v>14357</v>
      </c>
      <c r="N64" s="51" t="s">
        <v>29</v>
      </c>
      <c r="O64" s="52"/>
      <c r="P64" s="53"/>
      <c r="Q64" s="53">
        <f>+SUM(E65:E68)</f>
        <v>76190</v>
      </c>
      <c r="R64" s="53">
        <f>+SUM(F65:F68)</f>
        <v>3663523</v>
      </c>
      <c r="S64" s="53">
        <f>+SUM(G65:G68)</f>
        <v>2187580</v>
      </c>
      <c r="T64" s="53">
        <f>+SUM(H65:H68)</f>
        <v>32616</v>
      </c>
      <c r="U64" s="54">
        <f>+SUM(I65:I68)</f>
        <v>38075</v>
      </c>
      <c r="V64" s="170">
        <f>'BGS PTY16 Cost Alloc'!V64</f>
        <v>42856</v>
      </c>
      <c r="W64" s="50">
        <f>'BGS PTY16 Cost Alloc'!W64</f>
        <v>537001.81996719993</v>
      </c>
      <c r="X64" s="50">
        <f>'BGS PTY16 Cost Alloc'!X64</f>
        <v>4943.0332630000003</v>
      </c>
      <c r="Y64" s="55">
        <f t="shared" si="9"/>
        <v>532058.78670419997</v>
      </c>
      <c r="Z64" s="50">
        <f>'BGS PTY16 Cost Alloc'!Z64</f>
        <v>924905.80030410003</v>
      </c>
      <c r="AA64" s="50">
        <f>'BGS PTY16 Cost Alloc'!AA64</f>
        <v>14357.0040796719</v>
      </c>
      <c r="AB64" s="50">
        <f>'BGS PTY16 Cost Alloc'!AB64</f>
        <v>532589.49712002405</v>
      </c>
      <c r="AC64" s="50">
        <f>'BGS PTY16 Cost Alloc'!AC64</f>
        <v>442963.184987057</v>
      </c>
      <c r="AD64" s="50">
        <f>'BGS PTY16 Cost Alloc'!AD64</f>
        <v>497962.108987057</v>
      </c>
      <c r="AG64" s="50">
        <f>'BGS PTY16 Cost Alloc'!AG64</f>
        <v>9679.0557281706042</v>
      </c>
    </row>
    <row r="65" spans="1:34" x14ac:dyDescent="0.25">
      <c r="A65" s="22"/>
      <c r="B65" s="28" t="s">
        <v>6</v>
      </c>
      <c r="C65" s="49"/>
      <c r="D65" s="49"/>
      <c r="E65" s="50">
        <f>'BGS PTY16 Cost Alloc'!E65</f>
        <v>16476</v>
      </c>
      <c r="F65" s="50">
        <f>'BGS PTY16 Cost Alloc'!F65</f>
        <v>706515</v>
      </c>
      <c r="G65" s="50">
        <f>'BGS PTY16 Cost Alloc'!G65</f>
        <v>503595</v>
      </c>
      <c r="H65" s="50">
        <f>'BGS PTY16 Cost Alloc'!H65</f>
        <v>8862</v>
      </c>
      <c r="I65" s="50">
        <f>'BGS PTY16 Cost Alloc'!I65</f>
        <v>9527</v>
      </c>
      <c r="J65" s="50">
        <f t="shared" si="7"/>
        <v>1244975</v>
      </c>
      <c r="K65" s="49"/>
      <c r="L65" s="50"/>
      <c r="M65" s="50">
        <f t="shared" si="8"/>
        <v>15946</v>
      </c>
      <c r="N65" s="51"/>
      <c r="O65" s="52"/>
      <c r="P65" s="158" t="s">
        <v>151</v>
      </c>
      <c r="Q65" s="159">
        <f>SUMPRODUCT(E38:E41,M65:M68)</f>
        <v>30286.798000000003</v>
      </c>
      <c r="R65" s="159">
        <f>'BGS PTY16 Cost Alloc'!R65</f>
        <v>1937650.243797573</v>
      </c>
      <c r="S65" s="132" t="s">
        <v>177</v>
      </c>
      <c r="T65" s="53">
        <f>+SUMPRODUCT(H38:H41,H65:H68)</f>
        <v>15200.926100000001</v>
      </c>
      <c r="U65" s="56">
        <f>T65/T64</f>
        <v>0.46605733688987</v>
      </c>
      <c r="V65" s="170">
        <f>'BGS PTY16 Cost Alloc'!V65</f>
        <v>42887</v>
      </c>
      <c r="W65" s="50">
        <f>'BGS PTY16 Cost Alloc'!W65</f>
        <v>530088.10893900006</v>
      </c>
      <c r="X65" s="50">
        <f>'BGS PTY16 Cost Alloc'!X65</f>
        <v>4899.8740033000004</v>
      </c>
      <c r="Y65" s="55">
        <f t="shared" si="9"/>
        <v>525188.23493570008</v>
      </c>
      <c r="Z65" s="50">
        <f>'BGS PTY16 Cost Alloc'!Z65</f>
        <v>1023532.7820398</v>
      </c>
      <c r="AA65" s="50">
        <f>'BGS PTY16 Cost Alloc'!AA65</f>
        <v>14922.4316553389</v>
      </c>
      <c r="AB65" s="50">
        <f>'BGS PTY16 Cost Alloc'!AB65</f>
        <v>706515.06056262192</v>
      </c>
      <c r="AC65" s="50">
        <f>'BGS PTY16 Cost Alloc'!AC65</f>
        <v>503599.92031238601</v>
      </c>
      <c r="AD65" s="50">
        <f>'BGS PTY16 Cost Alloc'!AD65</f>
        <v>560959.99931238603</v>
      </c>
      <c r="AG65" s="50">
        <f>'BGS PTY16 Cost Alloc'!AG65</f>
        <v>8861.8146137688982</v>
      </c>
    </row>
    <row r="66" spans="1:34" x14ac:dyDescent="0.25">
      <c r="A66" s="22"/>
      <c r="B66" s="28" t="s">
        <v>7</v>
      </c>
      <c r="C66" s="49"/>
      <c r="D66" s="49"/>
      <c r="E66" s="50">
        <f>'BGS PTY16 Cost Alloc'!E66</f>
        <v>20052</v>
      </c>
      <c r="F66" s="50">
        <f>'BGS PTY16 Cost Alloc'!F66</f>
        <v>976312</v>
      </c>
      <c r="G66" s="50">
        <f>'BGS PTY16 Cost Alloc'!G66</f>
        <v>562778</v>
      </c>
      <c r="H66" s="50">
        <f>'BGS PTY16 Cost Alloc'!H66</f>
        <v>9625</v>
      </c>
      <c r="I66" s="50">
        <f>'BGS PTY16 Cost Alloc'!I66</f>
        <v>9521</v>
      </c>
      <c r="J66" s="50">
        <f t="shared" si="7"/>
        <v>1578288</v>
      </c>
      <c r="K66" s="49"/>
      <c r="L66" s="50"/>
      <c r="M66" s="50">
        <f t="shared" si="8"/>
        <v>19529</v>
      </c>
      <c r="N66" s="51"/>
      <c r="O66" s="52"/>
      <c r="P66" s="158" t="s">
        <v>152</v>
      </c>
      <c r="Q66" s="159">
        <f>SUMPRODUCT(Q38:Q41,M65:M68)</f>
        <v>43823.202000000005</v>
      </c>
      <c r="R66" s="159">
        <f>'BGS PTY16 Cost Alloc'!R66</f>
        <v>1725872.7562024272</v>
      </c>
      <c r="S66" s="132" t="s">
        <v>178</v>
      </c>
      <c r="T66" s="53">
        <f>+T64-T65</f>
        <v>17415.073899999999</v>
      </c>
      <c r="U66" s="48"/>
      <c r="V66" s="170">
        <f>'BGS PTY16 Cost Alloc'!V66</f>
        <v>42917</v>
      </c>
      <c r="W66" s="50">
        <f>'BGS PTY16 Cost Alloc'!W66</f>
        <v>523496.58680840005</v>
      </c>
      <c r="X66" s="50">
        <f>'BGS PTY16 Cost Alloc'!X66</f>
        <v>4833.4869042</v>
      </c>
      <c r="Y66" s="55">
        <f t="shared" si="9"/>
        <v>518663.09990420006</v>
      </c>
      <c r="Z66" s="50">
        <f>'BGS PTY16 Cost Alloc'!Z66</f>
        <v>1214783.9569172999</v>
      </c>
      <c r="AA66" s="50">
        <f>'BGS PTY16 Cost Alloc'!AA66</f>
        <v>18314.165137530403</v>
      </c>
      <c r="AB66" s="50">
        <f>'BGS PTY16 Cost Alloc'!AB66</f>
        <v>976311.957905552</v>
      </c>
      <c r="AC66" s="50">
        <f>'BGS PTY16 Cost Alloc'!AC66</f>
        <v>562783.14787474007</v>
      </c>
      <c r="AD66" s="50">
        <f>'BGS PTY16 Cost Alloc'!AD66</f>
        <v>629884.75487474003</v>
      </c>
      <c r="AG66" s="50">
        <f>'BGS PTY16 Cost Alloc'!AG66</f>
        <v>9624.8977233470014</v>
      </c>
    </row>
    <row r="67" spans="1:34" x14ac:dyDescent="0.25">
      <c r="A67" s="22"/>
      <c r="B67" s="28" t="s">
        <v>8</v>
      </c>
      <c r="C67" s="49"/>
      <c r="D67" s="49"/>
      <c r="E67" s="50">
        <f>'BGS PTY16 Cost Alloc'!E67</f>
        <v>21438</v>
      </c>
      <c r="F67" s="50">
        <f>'BGS PTY16 Cost Alloc'!F67</f>
        <v>1079620</v>
      </c>
      <c r="G67" s="50">
        <f>'BGS PTY16 Cost Alloc'!G67</f>
        <v>581492</v>
      </c>
      <c r="H67" s="50">
        <f>'BGS PTY16 Cost Alloc'!H67</f>
        <v>8337</v>
      </c>
      <c r="I67" s="50">
        <f>'BGS PTY16 Cost Alloc'!I67</f>
        <v>9516</v>
      </c>
      <c r="J67" s="50">
        <f t="shared" si="7"/>
        <v>1700403</v>
      </c>
      <c r="K67" s="49"/>
      <c r="L67" s="49"/>
      <c r="M67" s="50">
        <f t="shared" si="8"/>
        <v>20921</v>
      </c>
      <c r="N67" s="57"/>
      <c r="O67" s="58"/>
      <c r="P67" s="114" t="s">
        <v>195</v>
      </c>
      <c r="Q67" s="53">
        <f>SUM(W65:W68)/1000</f>
        <v>2080.4224798939999</v>
      </c>
      <c r="R67" s="66"/>
      <c r="S67" s="58"/>
      <c r="T67" s="58"/>
      <c r="U67" s="59"/>
      <c r="V67" s="170">
        <f>'BGS PTY16 Cost Alloc'!V67</f>
        <v>42948</v>
      </c>
      <c r="W67" s="50">
        <f>'BGS PTY16 Cost Alloc'!W67</f>
        <v>516770.13112859993</v>
      </c>
      <c r="X67" s="50">
        <f>'BGS PTY16 Cost Alloc'!X67</f>
        <v>4786.6299723000002</v>
      </c>
      <c r="Y67" s="55">
        <f t="shared" si="9"/>
        <v>511983.5011562999</v>
      </c>
      <c r="Z67" s="50">
        <f>'BGS PTY16 Cost Alloc'!Z67</f>
        <v>1269701.3734303999</v>
      </c>
      <c r="AA67" s="50">
        <f>'BGS PTY16 Cost Alloc'!AA67</f>
        <v>19652.175287622998</v>
      </c>
      <c r="AB67" s="50">
        <f>'BGS PTY16 Cost Alloc'!AB67</f>
        <v>1079619.5723389499</v>
      </c>
      <c r="AC67" s="50">
        <f>'BGS PTY16 Cost Alloc'!AC67</f>
        <v>581497.08680325397</v>
      </c>
      <c r="AD67" s="50">
        <f>'BGS PTY16 Cost Alloc'!AD67</f>
        <v>652538.69780325401</v>
      </c>
      <c r="AG67" s="50">
        <f>'BGS PTY16 Cost Alloc'!AG67</f>
        <v>8336.506007141701</v>
      </c>
    </row>
    <row r="68" spans="1:34" x14ac:dyDescent="0.25">
      <c r="A68" s="22"/>
      <c r="B68" s="28" t="s">
        <v>9</v>
      </c>
      <c r="C68" s="49"/>
      <c r="D68" s="49"/>
      <c r="E68" s="50">
        <f>'BGS PTY16 Cost Alloc'!E68</f>
        <v>18224</v>
      </c>
      <c r="F68" s="50">
        <f>'BGS PTY16 Cost Alloc'!F68</f>
        <v>901076</v>
      </c>
      <c r="G68" s="50">
        <f>'BGS PTY16 Cost Alloc'!G68</f>
        <v>539715</v>
      </c>
      <c r="H68" s="50">
        <f>'BGS PTY16 Cost Alloc'!H68</f>
        <v>5792</v>
      </c>
      <c r="I68" s="50">
        <f>'BGS PTY16 Cost Alloc'!I68</f>
        <v>9511</v>
      </c>
      <c r="J68" s="50">
        <f t="shared" si="7"/>
        <v>1474318</v>
      </c>
      <c r="K68" s="49"/>
      <c r="L68" s="49"/>
      <c r="M68" s="50">
        <f t="shared" si="8"/>
        <v>17714</v>
      </c>
      <c r="N68" s="40"/>
      <c r="O68" s="41"/>
      <c r="P68" s="41"/>
      <c r="Q68" s="41" t="s">
        <v>130</v>
      </c>
      <c r="R68" s="41"/>
      <c r="S68" s="41"/>
      <c r="T68" s="41"/>
      <c r="U68" s="42"/>
      <c r="V68" s="170">
        <f>'BGS PTY16 Cost Alloc'!V68</f>
        <v>42979</v>
      </c>
      <c r="W68" s="50">
        <f>'BGS PTY16 Cost Alloc'!W68</f>
        <v>510067.65301799995</v>
      </c>
      <c r="X68" s="50">
        <f>'BGS PTY16 Cost Alloc'!X68</f>
        <v>4748.8027156999997</v>
      </c>
      <c r="Y68" s="55">
        <f t="shared" si="9"/>
        <v>505318.85030229995</v>
      </c>
      <c r="Z68" s="50">
        <f>'BGS PTY16 Cost Alloc'!Z68</f>
        <v>1085319.922977</v>
      </c>
      <c r="AA68" s="50">
        <f>'BGS PTY16 Cost Alloc'!AA68</f>
        <v>16628.5328073116</v>
      </c>
      <c r="AB68" s="50">
        <f>'BGS PTY16 Cost Alloc'!AB68</f>
        <v>901075.70826971193</v>
      </c>
      <c r="AC68" s="50">
        <f>'BGS PTY16 Cost Alloc'!AC68</f>
        <v>539719.90629777999</v>
      </c>
      <c r="AD68" s="50">
        <f>'BGS PTY16 Cost Alloc'!AD68</f>
        <v>610148.17329777998</v>
      </c>
      <c r="AG68" s="50">
        <f>'BGS PTY16 Cost Alloc'!AG68</f>
        <v>5792.0118773498016</v>
      </c>
    </row>
    <row r="69" spans="1:34" x14ac:dyDescent="0.25">
      <c r="A69" s="22"/>
      <c r="B69" s="28" t="s">
        <v>10</v>
      </c>
      <c r="C69" s="49"/>
      <c r="D69" s="49"/>
      <c r="E69" s="50">
        <f>'BGS PTY16 Cost Alloc'!E69</f>
        <v>13316</v>
      </c>
      <c r="F69" s="50">
        <f>'BGS PTY16 Cost Alloc'!F69</f>
        <v>616607</v>
      </c>
      <c r="G69" s="50">
        <f>'BGS PTY16 Cost Alloc'!G69</f>
        <v>481352</v>
      </c>
      <c r="H69" s="50">
        <f>'BGS PTY16 Cost Alloc'!H69</f>
        <v>9655</v>
      </c>
      <c r="I69" s="50">
        <f>'BGS PTY16 Cost Alloc'!I69</f>
        <v>9506</v>
      </c>
      <c r="J69" s="50">
        <f t="shared" si="7"/>
        <v>1130436</v>
      </c>
      <c r="K69" s="49"/>
      <c r="L69" s="49"/>
      <c r="M69" s="50">
        <f t="shared" si="8"/>
        <v>12812</v>
      </c>
      <c r="N69" s="43"/>
      <c r="O69" s="44"/>
      <c r="P69" s="44"/>
      <c r="Q69" s="44" t="str">
        <f>+Q$13</f>
        <v>RT{1}</v>
      </c>
      <c r="R69" s="44"/>
      <c r="S69" s="44"/>
      <c r="T69" s="44" t="str">
        <f>+T$13</f>
        <v>GST</v>
      </c>
      <c r="U69" s="45"/>
      <c r="V69" s="170">
        <f>'BGS PTY16 Cost Alloc'!V69</f>
        <v>43009</v>
      </c>
      <c r="W69" s="50">
        <f>'BGS PTY16 Cost Alloc'!W69</f>
        <v>503664.86184990004</v>
      </c>
      <c r="X69" s="50">
        <f>'BGS PTY16 Cost Alloc'!X69</f>
        <v>4744.8050679999997</v>
      </c>
      <c r="Y69" s="55">
        <f t="shared" si="9"/>
        <v>498920.05678190006</v>
      </c>
      <c r="Z69" s="50">
        <f>'BGS PTY16 Cost Alloc'!Z69</f>
        <v>858064.71484709997</v>
      </c>
      <c r="AA69" s="50">
        <f>'BGS PTY16 Cost Alloc'!AA69</f>
        <v>12812.072040655401</v>
      </c>
      <c r="AB69" s="50">
        <f>'BGS PTY16 Cost Alloc'!AB69</f>
        <v>615748.77924449695</v>
      </c>
      <c r="AC69" s="50">
        <f>'BGS PTY16 Cost Alloc'!AC69</f>
        <v>481357.31496833509</v>
      </c>
      <c r="AD69" s="50">
        <f>'BGS PTY16 Cost Alloc'!AD69</f>
        <v>542518.38096833508</v>
      </c>
      <c r="AG69" s="50">
        <f>'BGS PTY16 Cost Alloc'!AG69</f>
        <v>9654.5129142968945</v>
      </c>
    </row>
    <row r="70" spans="1:34" x14ac:dyDescent="0.25">
      <c r="A70" s="22"/>
      <c r="B70" s="28" t="s">
        <v>11</v>
      </c>
      <c r="C70" s="49"/>
      <c r="D70" s="49"/>
      <c r="E70" s="50">
        <f>'BGS PTY16 Cost Alloc'!E70</f>
        <v>14708</v>
      </c>
      <c r="F70" s="50">
        <f>'BGS PTY16 Cost Alloc'!F70</f>
        <v>567433</v>
      </c>
      <c r="G70" s="50">
        <f>'BGS PTY16 Cost Alloc'!G70</f>
        <v>422134</v>
      </c>
      <c r="H70" s="50">
        <f>'BGS PTY16 Cost Alloc'!H70</f>
        <v>6738</v>
      </c>
      <c r="I70" s="50">
        <f>'BGS PTY16 Cost Alloc'!I70</f>
        <v>9501</v>
      </c>
      <c r="J70" s="50">
        <f t="shared" si="7"/>
        <v>1020514</v>
      </c>
      <c r="K70" s="49"/>
      <c r="L70" s="49"/>
      <c r="M70" s="50">
        <f t="shared" si="8"/>
        <v>14211</v>
      </c>
      <c r="N70" s="46"/>
      <c r="O70" s="47"/>
      <c r="P70" s="47"/>
      <c r="Q70" s="47"/>
      <c r="R70" s="47"/>
      <c r="S70" s="47"/>
      <c r="T70" s="47"/>
      <c r="U70" s="48"/>
      <c r="V70" s="170">
        <f>'BGS PTY16 Cost Alloc'!V70</f>
        <v>43040</v>
      </c>
      <c r="W70" s="50">
        <f>'BGS PTY16 Cost Alloc'!W70</f>
        <v>497086.90227129991</v>
      </c>
      <c r="X70" s="50">
        <f>'BGS PTY16 Cost Alloc'!X70</f>
        <v>4704.6675745000002</v>
      </c>
      <c r="Y70" s="55">
        <f t="shared" si="9"/>
        <v>492382.23469679989</v>
      </c>
      <c r="Z70" s="50">
        <f>'BGS PTY16 Cost Alloc'!Z70</f>
        <v>1028470.2814720999</v>
      </c>
      <c r="AA70" s="50">
        <f>'BGS PTY16 Cost Alloc'!AA70</f>
        <v>14210.7384707623</v>
      </c>
      <c r="AB70" s="50">
        <f>'BGS PTY16 Cost Alloc'!AB70</f>
        <v>566405.32324776601</v>
      </c>
      <c r="AC70" s="50">
        <f>'BGS PTY16 Cost Alloc'!AC70</f>
        <v>422139.17746071203</v>
      </c>
      <c r="AD70" s="50">
        <f>'BGS PTY16 Cost Alloc'!AD70</f>
        <v>477703.61746071203</v>
      </c>
      <c r="AE70" s="13">
        <f>'BGS PTY16 Cost Alloc'!AE70</f>
        <v>0</v>
      </c>
      <c r="AG70" s="50">
        <f>'BGS PTY16 Cost Alloc'!AG70</f>
        <v>6738.0609270856976</v>
      </c>
      <c r="AH70" s="13">
        <f>'BGS PTY16 Cost Alloc'!AH70</f>
        <v>0</v>
      </c>
    </row>
    <row r="71" spans="1:34" x14ac:dyDescent="0.25">
      <c r="A71" s="22"/>
      <c r="B71" s="28" t="s">
        <v>12</v>
      </c>
      <c r="C71" s="49"/>
      <c r="D71" s="49"/>
      <c r="E71" s="50">
        <f>'BGS PTY16 Cost Alloc'!E71</f>
        <v>19538</v>
      </c>
      <c r="F71" s="50">
        <f>'BGS PTY16 Cost Alloc'!F71</f>
        <v>657345</v>
      </c>
      <c r="G71" s="50">
        <f>'BGS PTY16 Cost Alloc'!G71</f>
        <v>457512</v>
      </c>
      <c r="H71" s="50">
        <f>'BGS PTY16 Cost Alloc'!H71</f>
        <v>7844</v>
      </c>
      <c r="I71" s="50">
        <f>'BGS PTY16 Cost Alloc'!I71</f>
        <v>9496</v>
      </c>
      <c r="J71" s="50">
        <f t="shared" si="7"/>
        <v>1151735</v>
      </c>
      <c r="K71" s="49"/>
      <c r="L71" s="49"/>
      <c r="M71" s="50">
        <f t="shared" si="8"/>
        <v>19047</v>
      </c>
      <c r="N71" s="51"/>
      <c r="O71" s="52"/>
      <c r="P71" s="115" t="s">
        <v>148</v>
      </c>
      <c r="Q71" s="53">
        <f>SUM(E60:E64,E69:E71)</f>
        <v>159889</v>
      </c>
      <c r="R71" s="53"/>
      <c r="S71" s="115" t="s">
        <v>148</v>
      </c>
      <c r="T71" s="53">
        <f>SUM(H60:H64,H69:H71)</f>
        <v>85407</v>
      </c>
      <c r="U71" s="54"/>
      <c r="V71" s="170">
        <f>'BGS PTY16 Cost Alloc'!V71</f>
        <v>43070</v>
      </c>
      <c r="W71" s="50">
        <f>'BGS PTY16 Cost Alloc'!W71</f>
        <v>490707.39849850006</v>
      </c>
      <c r="X71" s="50">
        <f>'BGS PTY16 Cost Alloc'!X71</f>
        <v>4636.8137026000004</v>
      </c>
      <c r="Y71" s="55">
        <f t="shared" si="9"/>
        <v>486070.58479590004</v>
      </c>
      <c r="Z71" s="50">
        <f>'BGS PTY16 Cost Alloc'!Z71</f>
        <v>1393628.8582929999</v>
      </c>
      <c r="AA71" s="50">
        <f>'BGS PTY16 Cost Alloc'!AA71</f>
        <v>19047.313201495799</v>
      </c>
      <c r="AB71" s="50">
        <f>'BGS PTY16 Cost Alloc'!AB71</f>
        <v>655950.73794021108</v>
      </c>
      <c r="AC71" s="50">
        <f>'BGS PTY16 Cost Alloc'!AC71</f>
        <v>457516.60524028598</v>
      </c>
      <c r="AD71" s="50">
        <f>'BGS PTY16 Cost Alloc'!AD71</f>
        <v>511774.49224028597</v>
      </c>
      <c r="AE71" s="13">
        <f>'BGS PTY16 Cost Alloc'!AE71</f>
        <v>0</v>
      </c>
      <c r="AG71" s="50">
        <f>'BGS PTY16 Cost Alloc'!AG71</f>
        <v>7844.4313836348947</v>
      </c>
      <c r="AH71" s="13">
        <f>'BGS PTY16 Cost Alloc'!AH71</f>
        <v>0</v>
      </c>
    </row>
    <row r="72" spans="1:34" x14ac:dyDescent="0.25">
      <c r="A72" s="22"/>
      <c r="B72" s="60" t="s">
        <v>13</v>
      </c>
      <c r="C72" s="55"/>
      <c r="D72" s="55"/>
      <c r="E72" s="55">
        <f>SUM(E60:E71)</f>
        <v>236079</v>
      </c>
      <c r="F72" s="55">
        <f>SUM(F60:F71)</f>
        <v>8821066</v>
      </c>
      <c r="G72" s="55">
        <f>SUM(G60:G71)</f>
        <v>5984056</v>
      </c>
      <c r="H72" s="55">
        <f>SUM(H60:H71)</f>
        <v>118023</v>
      </c>
      <c r="I72" s="55">
        <f>SUM(I60:I71)</f>
        <v>114289</v>
      </c>
      <c r="J72" s="55">
        <f t="shared" si="7"/>
        <v>15273513</v>
      </c>
      <c r="K72" s="55"/>
      <c r="L72" s="55"/>
      <c r="M72" s="55">
        <f>SUM(M60:M71)</f>
        <v>229755</v>
      </c>
      <c r="N72" s="51"/>
      <c r="O72" s="52"/>
      <c r="P72" s="114" t="s">
        <v>146</v>
      </c>
      <c r="Q72" s="53">
        <f>SUMPRODUCT(E15:E19,E60:E64)+SUMPRODUCT(E24:E26,E69:E71)</f>
        <v>76997.063999999998</v>
      </c>
      <c r="R72" s="47">
        <f>Q72/Q71</f>
        <v>0.48156573622950921</v>
      </c>
      <c r="S72" s="114" t="s">
        <v>177</v>
      </c>
      <c r="T72" s="53">
        <f>SUMPRODUCT(H15:H19,H60:H64)+SUMPRODUCT(H24:H26,H69:H71)</f>
        <v>48002.655500000001</v>
      </c>
      <c r="U72" s="48">
        <f>T72/T71</f>
        <v>0.56204591544018645</v>
      </c>
      <c r="W72" s="55">
        <f t="shared" ref="W72:AD72" si="10">SUM(W60:W71)</f>
        <v>6322995.4084249996</v>
      </c>
      <c r="X72" s="55">
        <f t="shared" si="10"/>
        <v>58372.370965800001</v>
      </c>
      <c r="Y72" s="55">
        <f t="shared" si="10"/>
        <v>6264623.0374591993</v>
      </c>
      <c r="Z72" s="55">
        <f t="shared" si="10"/>
        <v>16471071.3263715</v>
      </c>
      <c r="AA72" s="55">
        <f t="shared" si="10"/>
        <v>225161.18037678645</v>
      </c>
      <c r="AB72" s="55">
        <f t="shared" si="10"/>
        <v>8809189.7995927911</v>
      </c>
      <c r="AC72" s="55">
        <f t="shared" si="10"/>
        <v>5984115.1464145193</v>
      </c>
      <c r="AD72" s="55">
        <f t="shared" si="10"/>
        <v>6690022.0724145193</v>
      </c>
      <c r="AE72" s="13">
        <f>'BGS PTY16 Cost Alloc'!AE72</f>
        <v>0</v>
      </c>
      <c r="AG72" s="55">
        <f>SUM(AG60:AG71)</f>
        <v>118022.76422646637</v>
      </c>
      <c r="AH72" s="13">
        <f>'BGS PTY16 Cost Alloc'!AH72</f>
        <v>0</v>
      </c>
    </row>
    <row r="73" spans="1:34" x14ac:dyDescent="0.25">
      <c r="A73" s="22"/>
      <c r="B73" s="28"/>
      <c r="J73" s="61"/>
      <c r="N73" s="51"/>
      <c r="O73" s="52"/>
      <c r="P73" s="114" t="s">
        <v>145</v>
      </c>
      <c r="Q73" s="53">
        <f>+Q71-Q72</f>
        <v>82891.936000000002</v>
      </c>
      <c r="R73" s="47"/>
      <c r="S73" s="114" t="s">
        <v>178</v>
      </c>
      <c r="T73" s="53">
        <f>+T71-T72</f>
        <v>37404.344499999999</v>
      </c>
      <c r="U73" s="48"/>
    </row>
    <row r="74" spans="1:34" ht="15.6" x14ac:dyDescent="0.3">
      <c r="A74" s="22"/>
      <c r="N74" s="46"/>
      <c r="O74" s="47"/>
      <c r="P74" s="47"/>
      <c r="Q74" s="47"/>
      <c r="R74" s="47"/>
      <c r="S74" s="47"/>
      <c r="T74" s="47"/>
      <c r="U74" s="48"/>
      <c r="V74" s="71" t="s">
        <v>181</v>
      </c>
      <c r="W74" s="13" t="s">
        <v>185</v>
      </c>
      <c r="X74" s="13" t="s">
        <v>184</v>
      </c>
      <c r="Y74" s="13" t="s">
        <v>182</v>
      </c>
      <c r="Z74" s="13" t="s">
        <v>183</v>
      </c>
      <c r="AB74" s="13" t="s">
        <v>186</v>
      </c>
      <c r="AC74" s="13" t="s">
        <v>211</v>
      </c>
      <c r="AE74" s="14"/>
    </row>
    <row r="75" spans="1:34" x14ac:dyDescent="0.25">
      <c r="A75" s="18" t="s">
        <v>37</v>
      </c>
      <c r="B75" s="16" t="s">
        <v>19</v>
      </c>
      <c r="G75" s="62" t="s">
        <v>32</v>
      </c>
      <c r="H75" s="16" t="s">
        <v>175</v>
      </c>
      <c r="N75" s="51"/>
      <c r="O75" s="52"/>
      <c r="P75" s="116" t="s">
        <v>149</v>
      </c>
      <c r="Q75" s="53">
        <f>+SUM(E65:E68)</f>
        <v>76190</v>
      </c>
      <c r="R75" s="44"/>
      <c r="S75" s="116" t="s">
        <v>149</v>
      </c>
      <c r="T75" s="53">
        <f>+SUM(H65:H68)</f>
        <v>32616</v>
      </c>
      <c r="U75" s="45"/>
      <c r="V75" s="55">
        <f t="shared" ref="V75:V86" si="11">W60-W75</f>
        <v>226530.3738246999</v>
      </c>
      <c r="W75" s="55">
        <f t="shared" ref="W75:W86" si="12">SUM(X75:Z75)</f>
        <v>336693.77829809999</v>
      </c>
      <c r="X75" s="50">
        <f>'BGS PTY16 Cost Alloc'!X75</f>
        <v>3943.3482992999998</v>
      </c>
      <c r="Y75" s="50">
        <f>'BGS PTY16 Cost Alloc'!Y75</f>
        <v>329613.2807077</v>
      </c>
      <c r="Z75" s="50">
        <f>'BGS PTY16 Cost Alloc'!Z75</f>
        <v>3137.1492911</v>
      </c>
      <c r="AA75" s="55"/>
      <c r="AB75" s="13">
        <f t="shared" ref="AB75:AB86" si="13">(V75*$AA$94+W75*$AA$95)/1000</f>
        <v>122.74217351745266</v>
      </c>
      <c r="AC75" s="13">
        <f t="shared" ref="AC75:AC86" si="14">(W60/1000)-AB75</f>
        <v>440.48197860534719</v>
      </c>
    </row>
    <row r="76" spans="1:34" s="63" customFormat="1" x14ac:dyDescent="0.25">
      <c r="A76" s="22"/>
      <c r="B76" s="17" t="s">
        <v>21</v>
      </c>
      <c r="G76" s="21"/>
      <c r="H76" s="128" t="s">
        <v>174</v>
      </c>
      <c r="N76" s="51"/>
      <c r="O76" s="52"/>
      <c r="P76" s="114" t="s">
        <v>146</v>
      </c>
      <c r="Q76" s="53">
        <f>+SUMPRODUCT(E20:E23,E65:E68)</f>
        <v>39621.756200000003</v>
      </c>
      <c r="R76" s="47">
        <f>Q76/Q75</f>
        <v>0.52003880036750239</v>
      </c>
      <c r="S76" s="132" t="s">
        <v>177</v>
      </c>
      <c r="T76" s="53">
        <f>+SUMPRODUCT(H20:H23,H65:H68)</f>
        <v>19198.993999999999</v>
      </c>
      <c r="U76" s="48">
        <f>T76/T75</f>
        <v>0.58863729457934755</v>
      </c>
      <c r="V76" s="55">
        <f t="shared" si="11"/>
        <v>224364.71409089997</v>
      </c>
      <c r="W76" s="55">
        <f t="shared" si="12"/>
        <v>332254.62355079997</v>
      </c>
      <c r="X76" s="50">
        <f>'BGS PTY16 Cost Alloc'!X76</f>
        <v>3905.4500030999998</v>
      </c>
      <c r="Y76" s="50">
        <f>'BGS PTY16 Cost Alloc'!Y76</f>
        <v>325287.40141569998</v>
      </c>
      <c r="Z76" s="50">
        <f>'BGS PTY16 Cost Alloc'!Z76</f>
        <v>3061.7721320000001</v>
      </c>
      <c r="AA76" s="55"/>
      <c r="AB76" s="13">
        <f t="shared" si="13"/>
        <v>121.22161654971083</v>
      </c>
      <c r="AC76" s="13">
        <f t="shared" si="14"/>
        <v>435.39772109198918</v>
      </c>
      <c r="AD76" s="13"/>
    </row>
    <row r="77" spans="1:34" x14ac:dyDescent="0.25">
      <c r="A77" s="22"/>
      <c r="C77" s="26" t="s">
        <v>222</v>
      </c>
      <c r="D77" s="26" t="s">
        <v>218</v>
      </c>
      <c r="E77" s="26" t="s">
        <v>222</v>
      </c>
      <c r="F77" s="26" t="s">
        <v>218</v>
      </c>
      <c r="G77" s="26"/>
      <c r="N77" s="64"/>
      <c r="O77" s="65"/>
      <c r="P77" s="117" t="s">
        <v>145</v>
      </c>
      <c r="Q77" s="66">
        <f>Q75-Q76</f>
        <v>36568.243799999997</v>
      </c>
      <c r="R77" s="58"/>
      <c r="S77" s="133" t="s">
        <v>178</v>
      </c>
      <c r="T77" s="66">
        <f>T75-T76</f>
        <v>13417.006000000001</v>
      </c>
      <c r="U77" s="59"/>
      <c r="V77" s="55">
        <f t="shared" si="11"/>
        <v>222370.07065110002</v>
      </c>
      <c r="W77" s="55">
        <f t="shared" si="12"/>
        <v>328187.97910740005</v>
      </c>
      <c r="X77" s="50">
        <f>'BGS PTY16 Cost Alloc'!X77</f>
        <v>3868.7355381000002</v>
      </c>
      <c r="Y77" s="50">
        <f>'BGS PTY16 Cost Alloc'!Y77</f>
        <v>321325.61404840002</v>
      </c>
      <c r="Z77" s="50">
        <f>'BGS PTY16 Cost Alloc'!Z77</f>
        <v>2993.6295209</v>
      </c>
      <c r="AA77" s="55"/>
      <c r="AB77" s="13">
        <f t="shared" si="13"/>
        <v>119.8273811308417</v>
      </c>
      <c r="AC77" s="13">
        <f t="shared" si="14"/>
        <v>430.73066862765836</v>
      </c>
      <c r="AD77" s="55">
        <f>SUM(AB65:AB68)</f>
        <v>3663522.2990768361</v>
      </c>
    </row>
    <row r="78" spans="1:34" x14ac:dyDescent="0.25">
      <c r="A78" s="22"/>
      <c r="C78" s="26" t="s">
        <v>14</v>
      </c>
      <c r="D78" s="26" t="s">
        <v>14</v>
      </c>
      <c r="E78" s="26" t="s">
        <v>15</v>
      </c>
      <c r="F78" s="26" t="s">
        <v>15</v>
      </c>
      <c r="H78" s="26" t="s">
        <v>14</v>
      </c>
      <c r="I78" s="26" t="s">
        <v>15</v>
      </c>
      <c r="N78" s="46"/>
      <c r="O78" s="47"/>
      <c r="P78" s="47"/>
      <c r="Q78" s="47" t="s">
        <v>58</v>
      </c>
      <c r="R78" s="47"/>
      <c r="S78" s="47"/>
      <c r="T78" s="47"/>
      <c r="U78" s="48"/>
      <c r="V78" s="55">
        <f t="shared" si="11"/>
        <v>220101.94475259993</v>
      </c>
      <c r="W78" s="55">
        <f t="shared" si="12"/>
        <v>323608.46166849998</v>
      </c>
      <c r="X78" s="50">
        <f>'BGS PTY16 Cost Alloc'!X78</f>
        <v>3848.2726711</v>
      </c>
      <c r="Y78" s="50">
        <f>'BGS PTY16 Cost Alloc'!Y78</f>
        <v>316843.45217980002</v>
      </c>
      <c r="Z78" s="50">
        <f>'BGS PTY16 Cost Alloc'!Z78</f>
        <v>2916.7368176</v>
      </c>
      <c r="AA78" s="55"/>
      <c r="AB78" s="13">
        <f t="shared" si="13"/>
        <v>118.25469892272508</v>
      </c>
      <c r="AC78" s="13">
        <f t="shared" si="14"/>
        <v>425.45570749837486</v>
      </c>
    </row>
    <row r="79" spans="1:34" x14ac:dyDescent="0.25">
      <c r="A79" s="22"/>
      <c r="B79" s="28" t="s">
        <v>1</v>
      </c>
      <c r="C79" s="67">
        <v>54.72</v>
      </c>
      <c r="D79" s="163">
        <f>ROUND(C79*$H$309,3)</f>
        <v>69.266999999999996</v>
      </c>
      <c r="E79" s="67">
        <v>38.729999999999997</v>
      </c>
      <c r="F79" s="163">
        <f>ROUND(E79*$H$309,3)</f>
        <v>49.026000000000003</v>
      </c>
      <c r="H79" s="33">
        <v>1.0869147747616297</v>
      </c>
      <c r="I79" s="33">
        <v>1.0805056771162176</v>
      </c>
      <c r="L79" s="50"/>
      <c r="N79" s="43"/>
      <c r="O79" s="44"/>
      <c r="P79" s="26"/>
      <c r="Q79" s="26" t="str">
        <f>+Q$13</f>
        <v>RT{1}</v>
      </c>
      <c r="R79" s="26"/>
      <c r="S79" s="26"/>
      <c r="T79" s="26" t="str">
        <f>+T$13</f>
        <v>GST</v>
      </c>
      <c r="U79" s="45"/>
      <c r="V79" s="55">
        <f t="shared" si="11"/>
        <v>217869.96367459995</v>
      </c>
      <c r="W79" s="55">
        <f t="shared" si="12"/>
        <v>319131.85629259999</v>
      </c>
      <c r="X79" s="50">
        <f>'BGS PTY16 Cost Alloc'!X79</f>
        <v>3840.7705142</v>
      </c>
      <c r="Y79" s="50">
        <f>'BGS PTY16 Cost Alloc'!Y79</f>
        <v>312448.6062865</v>
      </c>
      <c r="Z79" s="50">
        <f>'BGS PTY16 Cost Alloc'!Z79</f>
        <v>2842.4794919000001</v>
      </c>
      <c r="AA79" s="55"/>
      <c r="AB79" s="13">
        <f t="shared" si="13"/>
        <v>116.71559353350445</v>
      </c>
      <c r="AC79" s="13">
        <f t="shared" si="14"/>
        <v>420.2862264336955</v>
      </c>
    </row>
    <row r="80" spans="1:34" x14ac:dyDescent="0.25">
      <c r="A80" s="22"/>
      <c r="B80" s="28" t="s">
        <v>2</v>
      </c>
      <c r="C80" s="67">
        <v>50.26</v>
      </c>
      <c r="D80" s="163">
        <f>ROUND(C80*$H$309,3)</f>
        <v>63.621000000000002</v>
      </c>
      <c r="E80" s="67">
        <v>35.573</v>
      </c>
      <c r="F80" s="163">
        <f>ROUND(E80*$H$309,3)</f>
        <v>45.03</v>
      </c>
      <c r="H80" s="178">
        <f>H79</f>
        <v>1.0869147747616297</v>
      </c>
      <c r="I80" s="178">
        <f>I79</f>
        <v>1.0805056771162176</v>
      </c>
      <c r="L80" s="140"/>
      <c r="N80" s="46"/>
      <c r="O80" s="47"/>
      <c r="P80" s="47"/>
      <c r="Q80" s="47"/>
      <c r="R80" s="47"/>
      <c r="S80" s="47"/>
      <c r="T80" s="47"/>
      <c r="U80" s="48"/>
      <c r="V80" s="55">
        <f t="shared" si="11"/>
        <v>215576.42238700006</v>
      </c>
      <c r="W80" s="55">
        <f t="shared" si="12"/>
        <v>314511.686552</v>
      </c>
      <c r="X80" s="50">
        <f>'BGS PTY16 Cost Alloc'!X80</f>
        <v>3810.3141402000001</v>
      </c>
      <c r="Y80" s="50">
        <f>'BGS PTY16 Cost Alloc'!Y80</f>
        <v>307936.03267360001</v>
      </c>
      <c r="Z80" s="50">
        <f>'BGS PTY16 Cost Alloc'!Z80</f>
        <v>2765.3397381999998</v>
      </c>
      <c r="AA80" s="55"/>
      <c r="AB80" s="13">
        <f t="shared" si="13"/>
        <v>115.12832192813646</v>
      </c>
      <c r="AC80" s="13">
        <f t="shared" si="14"/>
        <v>414.95978701086364</v>
      </c>
    </row>
    <row r="81" spans="1:29" x14ac:dyDescent="0.25">
      <c r="A81" s="22"/>
      <c r="B81" s="28" t="s">
        <v>3</v>
      </c>
      <c r="C81" s="67">
        <v>41.72</v>
      </c>
      <c r="D81" s="163">
        <f>ROUND(C81*$H$309,3)</f>
        <v>52.811</v>
      </c>
      <c r="E81" s="67">
        <v>29.529</v>
      </c>
      <c r="F81" s="163">
        <f>ROUND(E81*$H$309,3)</f>
        <v>37.378999999999998</v>
      </c>
      <c r="H81" s="178">
        <f>H79</f>
        <v>1.0869147747616297</v>
      </c>
      <c r="I81" s="178">
        <f>I79</f>
        <v>1.0805056771162176</v>
      </c>
      <c r="L81" s="140"/>
      <c r="N81" s="51"/>
      <c r="O81" s="52"/>
      <c r="P81" s="115" t="s">
        <v>26</v>
      </c>
      <c r="Q81" s="53"/>
      <c r="R81" s="53"/>
      <c r="S81" s="115" t="s">
        <v>26</v>
      </c>
      <c r="T81" s="53"/>
      <c r="U81" s="54"/>
      <c r="V81" s="55">
        <f t="shared" si="11"/>
        <v>213401.7437922</v>
      </c>
      <c r="W81" s="55">
        <f t="shared" si="12"/>
        <v>310094.84301620006</v>
      </c>
      <c r="X81" s="50">
        <f>'BGS PTY16 Cost Alloc'!X81</f>
        <v>3761.9857619999998</v>
      </c>
      <c r="Y81" s="50">
        <f>'BGS PTY16 Cost Alloc'!Y81</f>
        <v>303641.57100890001</v>
      </c>
      <c r="Z81" s="50">
        <f>'BGS PTY16 Cost Alloc'!Z81</f>
        <v>2691.2862452999998</v>
      </c>
      <c r="AA81" s="55"/>
      <c r="AB81" s="13">
        <f t="shared" si="13"/>
        <v>113.61303782499373</v>
      </c>
      <c r="AC81" s="13">
        <f t="shared" si="14"/>
        <v>409.88354898340629</v>
      </c>
    </row>
    <row r="82" spans="1:29" x14ac:dyDescent="0.25">
      <c r="A82" s="22"/>
      <c r="B82" s="28" t="s">
        <v>4</v>
      </c>
      <c r="C82" s="67">
        <v>38.06</v>
      </c>
      <c r="D82" s="163">
        <f>ROUND(C82*$H$309,3)</f>
        <v>48.177999999999997</v>
      </c>
      <c r="E82" s="67">
        <v>26.937999999999999</v>
      </c>
      <c r="F82" s="163">
        <f>ROUND(E82*$H$309,3)</f>
        <v>34.098999999999997</v>
      </c>
      <c r="H82" s="178">
        <f>H79</f>
        <v>1.0869147747616297</v>
      </c>
      <c r="I82" s="178">
        <f>I79</f>
        <v>1.0805056771162176</v>
      </c>
      <c r="L82" s="140"/>
      <c r="N82" s="51"/>
      <c r="O82" s="52"/>
      <c r="P82" s="114" t="s">
        <v>147</v>
      </c>
      <c r="Q82" s="53">
        <f>Q72-Q61</f>
        <v>21733.866500000004</v>
      </c>
      <c r="R82" s="47"/>
      <c r="S82" s="114" t="s">
        <v>147</v>
      </c>
      <c r="T82" s="53">
        <f>T72-T61</f>
        <v>10550.314600000005</v>
      </c>
      <c r="U82" s="48"/>
      <c r="V82" s="55">
        <f t="shared" si="11"/>
        <v>211185.00945269992</v>
      </c>
      <c r="W82" s="55">
        <f t="shared" si="12"/>
        <v>305585.12167590001</v>
      </c>
      <c r="X82" s="50">
        <f>'BGS PTY16 Cost Alloc'!X82</f>
        <v>3728.871619</v>
      </c>
      <c r="Y82" s="50">
        <f>'BGS PTY16 Cost Alloc'!Y82</f>
        <v>299241.03719130001</v>
      </c>
      <c r="Z82" s="50">
        <f>'BGS PTY16 Cost Alloc'!Z82</f>
        <v>2615.2128656</v>
      </c>
      <c r="AA82" s="55"/>
      <c r="AB82" s="13">
        <f t="shared" si="13"/>
        <v>112.0663275177907</v>
      </c>
      <c r="AC82" s="13">
        <f t="shared" si="14"/>
        <v>404.70380361080925</v>
      </c>
    </row>
    <row r="83" spans="1:29" x14ac:dyDescent="0.25">
      <c r="A83" s="22"/>
      <c r="B83" s="28" t="s">
        <v>5</v>
      </c>
      <c r="C83" s="67">
        <v>38.64</v>
      </c>
      <c r="D83" s="163">
        <f>ROUND(C83*$H$309,3)</f>
        <v>48.911999999999999</v>
      </c>
      <c r="E83" s="67">
        <v>27.349</v>
      </c>
      <c r="F83" s="163">
        <f>ROUND(E83*$H$309,3)</f>
        <v>34.619999999999997</v>
      </c>
      <c r="H83" s="178">
        <f>H79</f>
        <v>1.0869147747616297</v>
      </c>
      <c r="I83" s="178">
        <f>I79</f>
        <v>1.0805056771162176</v>
      </c>
      <c r="L83" s="140"/>
      <c r="N83" s="51"/>
      <c r="O83" s="52"/>
      <c r="P83" s="114" t="s">
        <v>150</v>
      </c>
      <c r="Q83" s="141">
        <f>Q82*(E117-E118)</f>
        <v>430426.94461686147</v>
      </c>
      <c r="R83" s="47"/>
      <c r="S83" s="114" t="s">
        <v>150</v>
      </c>
      <c r="T83" s="141">
        <f>T82*(H117-H118)</f>
        <v>202866.98646950582</v>
      </c>
      <c r="U83" s="48"/>
      <c r="V83" s="55">
        <f t="shared" si="11"/>
        <v>208976.67812029994</v>
      </c>
      <c r="W83" s="55">
        <f t="shared" si="12"/>
        <v>301090.97489770001</v>
      </c>
      <c r="X83" s="50">
        <f>'BGS PTY16 Cost Alloc'!X83</f>
        <v>3702.85914</v>
      </c>
      <c r="Y83" s="50">
        <f>'BGS PTY16 Cost Alloc'!Y83</f>
        <v>294848.89312620001</v>
      </c>
      <c r="Z83" s="50">
        <f>'BGS PTY16 Cost Alloc'!Z83</f>
        <v>2539.2226314999998</v>
      </c>
      <c r="AA83" s="55"/>
      <c r="AB83" s="13">
        <f t="shared" si="13"/>
        <v>110.52504783263467</v>
      </c>
      <c r="AC83" s="13">
        <f t="shared" si="14"/>
        <v>399.54260518536523</v>
      </c>
    </row>
    <row r="84" spans="1:29" x14ac:dyDescent="0.25">
      <c r="A84" s="22"/>
      <c r="B84" s="187" t="s">
        <v>6</v>
      </c>
      <c r="C84" s="228">
        <v>40.99</v>
      </c>
      <c r="D84" s="229">
        <f>ROUND(C84*$H$308,3)</f>
        <v>58.523000000000003</v>
      </c>
      <c r="E84" s="228">
        <v>25.803999999999998</v>
      </c>
      <c r="F84" s="230">
        <f>ROUND(E84*$H$308,3)</f>
        <v>36.841999999999999</v>
      </c>
      <c r="H84" s="129">
        <v>1.0301218156958498</v>
      </c>
      <c r="I84" s="130">
        <v>1.0097263866259354</v>
      </c>
      <c r="L84" s="140"/>
      <c r="N84" s="46"/>
      <c r="O84" s="47"/>
      <c r="P84" s="47"/>
      <c r="Q84" s="68"/>
      <c r="R84" s="47"/>
      <c r="S84" s="47"/>
      <c r="T84" s="68"/>
      <c r="U84" s="48"/>
      <c r="V84" s="55">
        <f t="shared" si="11"/>
        <v>206867.17113490001</v>
      </c>
      <c r="W84" s="55">
        <f t="shared" si="12"/>
        <v>296797.69071500003</v>
      </c>
      <c r="X84" s="50">
        <f>'BGS PTY16 Cost Alloc'!X84</f>
        <v>3702.9013255999998</v>
      </c>
      <c r="Y84" s="50">
        <f>'BGS PTY16 Cost Alloc'!Y84</f>
        <v>290628.16566230002</v>
      </c>
      <c r="Z84" s="50">
        <f>'BGS PTY16 Cost Alloc'!Z84</f>
        <v>2466.6237271</v>
      </c>
      <c r="AA84" s="55"/>
      <c r="AB84" s="13">
        <f t="shared" si="13"/>
        <v>109.05266934604752</v>
      </c>
      <c r="AC84" s="13">
        <f t="shared" si="14"/>
        <v>394.6121925038525</v>
      </c>
    </row>
    <row r="85" spans="1:29" x14ac:dyDescent="0.25">
      <c r="A85" s="22"/>
      <c r="B85" s="191" t="s">
        <v>7</v>
      </c>
      <c r="C85" s="231">
        <v>51.62</v>
      </c>
      <c r="D85" s="232">
        <f>ROUND(C85*$H$308,3)</f>
        <v>73.7</v>
      </c>
      <c r="E85" s="231">
        <v>32.496000000000002</v>
      </c>
      <c r="F85" s="233">
        <f>ROUND(E85*$H$308,3)</f>
        <v>46.396000000000001</v>
      </c>
      <c r="H85" s="176">
        <f t="shared" ref="H85:I87" si="15">H84</f>
        <v>1.0301218156958498</v>
      </c>
      <c r="I85" s="273">
        <f t="shared" si="15"/>
        <v>1.0097263866259354</v>
      </c>
      <c r="L85" s="140"/>
      <c r="N85" s="51"/>
      <c r="O85" s="52"/>
      <c r="P85" s="116" t="s">
        <v>25</v>
      </c>
      <c r="Q85" s="68"/>
      <c r="R85" s="44"/>
      <c r="S85" s="116" t="s">
        <v>25</v>
      </c>
      <c r="T85" s="68"/>
      <c r="U85" s="45"/>
      <c r="V85" s="55">
        <f t="shared" si="11"/>
        <v>204710.69834449998</v>
      </c>
      <c r="W85" s="55">
        <f t="shared" si="12"/>
        <v>292376.20392679994</v>
      </c>
      <c r="X85" s="50">
        <f>'BGS PTY16 Cost Alloc'!X85</f>
        <v>3675.0488067000001</v>
      </c>
      <c r="Y85" s="50">
        <f>'BGS PTY16 Cost Alloc'!Y85</f>
        <v>286309.89390169998</v>
      </c>
      <c r="Z85" s="50">
        <f>'BGS PTY16 Cost Alloc'!Z85</f>
        <v>2391.2612184</v>
      </c>
      <c r="AA85" s="55"/>
      <c r="AB85" s="13">
        <f t="shared" si="13"/>
        <v>107.53823180361468</v>
      </c>
      <c r="AC85" s="13">
        <f t="shared" si="14"/>
        <v>389.54867046768521</v>
      </c>
    </row>
    <row r="86" spans="1:29" x14ac:dyDescent="0.25">
      <c r="A86" s="22"/>
      <c r="B86" s="191" t="s">
        <v>8</v>
      </c>
      <c r="C86" s="231">
        <v>46.35</v>
      </c>
      <c r="D86" s="232">
        <f>ROUND(C86*$H$308,3)</f>
        <v>66.176000000000002</v>
      </c>
      <c r="E86" s="231">
        <v>29.178000000000001</v>
      </c>
      <c r="F86" s="233">
        <f>ROUND(E86*$H$308,3)</f>
        <v>41.658999999999999</v>
      </c>
      <c r="H86" s="176">
        <f t="shared" si="15"/>
        <v>1.0301218156958498</v>
      </c>
      <c r="I86" s="273">
        <f t="shared" si="15"/>
        <v>1.0097263866259354</v>
      </c>
      <c r="L86" s="140"/>
      <c r="N86" s="51"/>
      <c r="O86" s="52"/>
      <c r="P86" s="114" t="s">
        <v>147</v>
      </c>
      <c r="Q86" s="53">
        <f>Q76-Q65</f>
        <v>9334.9582000000009</v>
      </c>
      <c r="R86" s="47"/>
      <c r="S86" s="114" t="s">
        <v>147</v>
      </c>
      <c r="T86" s="53">
        <f>T76-T65</f>
        <v>3998.0678999999982</v>
      </c>
      <c r="U86" s="48"/>
      <c r="V86" s="55">
        <f t="shared" si="11"/>
        <v>202624.53543850005</v>
      </c>
      <c r="W86" s="55">
        <f t="shared" si="12"/>
        <v>288082.86306</v>
      </c>
      <c r="X86" s="50">
        <f>'BGS PTY16 Cost Alloc'!X86</f>
        <v>3625.2420895</v>
      </c>
      <c r="Y86" s="50">
        <f>'BGS PTY16 Cost Alloc'!Y86</f>
        <v>282139.33959350002</v>
      </c>
      <c r="Z86" s="50">
        <f>'BGS PTY16 Cost Alloc'!Z86</f>
        <v>2318.2813769999998</v>
      </c>
      <c r="AA86" s="55"/>
      <c r="AB86" s="13">
        <f t="shared" si="13"/>
        <v>106.06861625001603</v>
      </c>
      <c r="AC86" s="13">
        <f t="shared" si="14"/>
        <v>384.63878224848406</v>
      </c>
    </row>
    <row r="87" spans="1:29" x14ac:dyDescent="0.25">
      <c r="A87" s="22"/>
      <c r="B87" s="194" t="s">
        <v>9</v>
      </c>
      <c r="C87" s="234">
        <v>37.799999999999997</v>
      </c>
      <c r="D87" s="235">
        <f>ROUND(C87*$H$308,3)</f>
        <v>53.969000000000001</v>
      </c>
      <c r="E87" s="234">
        <v>23.795999999999999</v>
      </c>
      <c r="F87" s="236">
        <f>ROUND(E87*$H$308,3)</f>
        <v>33.975000000000001</v>
      </c>
      <c r="H87" s="177">
        <f t="shared" si="15"/>
        <v>1.0301218156958498</v>
      </c>
      <c r="I87" s="274">
        <f t="shared" si="15"/>
        <v>1.0097263866259354</v>
      </c>
      <c r="L87" s="140"/>
      <c r="N87" s="64"/>
      <c r="O87" s="65"/>
      <c r="P87" s="117" t="s">
        <v>150</v>
      </c>
      <c r="Q87" s="142">
        <f>Q86*(E113-E114)</f>
        <v>263338.06980039593</v>
      </c>
      <c r="R87" s="58"/>
      <c r="S87" s="117" t="s">
        <v>150</v>
      </c>
      <c r="T87" s="142">
        <f>T86*(H113-H114)</f>
        <v>112729.11476528189</v>
      </c>
      <c r="U87" s="59"/>
      <c r="AA87" s="55"/>
    </row>
    <row r="88" spans="1:29" x14ac:dyDescent="0.25">
      <c r="A88" s="22"/>
      <c r="B88" s="28" t="s">
        <v>10</v>
      </c>
      <c r="C88" s="67">
        <v>36.049999999999997</v>
      </c>
      <c r="D88" s="163">
        <f>ROUND(C88*$H$309,3)</f>
        <v>45.634</v>
      </c>
      <c r="E88" s="67">
        <v>25.515999999999998</v>
      </c>
      <c r="F88" s="163">
        <f>ROUND(E88*$H$309,3)</f>
        <v>32.298999999999999</v>
      </c>
      <c r="H88" s="178">
        <f>H79</f>
        <v>1.0869147747616297</v>
      </c>
      <c r="I88" s="178">
        <f>I79</f>
        <v>1.0805056771162176</v>
      </c>
      <c r="L88" s="140"/>
    </row>
    <row r="89" spans="1:29" x14ac:dyDescent="0.25">
      <c r="A89" s="22"/>
      <c r="B89" s="28" t="s">
        <v>11</v>
      </c>
      <c r="C89" s="67">
        <v>37.08</v>
      </c>
      <c r="D89" s="163">
        <f>ROUND(C89*$H$309,3)</f>
        <v>46.938000000000002</v>
      </c>
      <c r="E89" s="67">
        <v>26.245000000000001</v>
      </c>
      <c r="F89" s="163">
        <f>ROUND(E89*$H$309,3)</f>
        <v>33.222000000000001</v>
      </c>
      <c r="H89" s="178">
        <f>H79</f>
        <v>1.0869147747616297</v>
      </c>
      <c r="I89" s="178">
        <f>I79</f>
        <v>1.0805056771162176</v>
      </c>
      <c r="L89" s="140"/>
    </row>
    <row r="90" spans="1:29" x14ac:dyDescent="0.25">
      <c r="A90" s="22"/>
      <c r="B90" s="28" t="s">
        <v>12</v>
      </c>
      <c r="C90" s="67">
        <v>39.130000000000003</v>
      </c>
      <c r="D90" s="163">
        <f>ROUND(C90*$H$309,3)</f>
        <v>49.533000000000001</v>
      </c>
      <c r="E90" s="67">
        <v>27.695</v>
      </c>
      <c r="F90" s="163">
        <f>ROUND(E90*$H$309,3)</f>
        <v>35.058</v>
      </c>
      <c r="G90" s="70"/>
      <c r="H90" s="178">
        <f>H79</f>
        <v>1.0869147747616297</v>
      </c>
      <c r="I90" s="178">
        <f>I79</f>
        <v>1.0805056771162176</v>
      </c>
      <c r="L90" s="140"/>
    </row>
    <row r="91" spans="1:29" x14ac:dyDescent="0.25">
      <c r="A91" s="22"/>
      <c r="B91" s="28"/>
      <c r="C91" s="69"/>
      <c r="D91" s="69"/>
      <c r="G91" s="70"/>
      <c r="K91" s="70"/>
      <c r="X91" s="13" t="s">
        <v>210</v>
      </c>
    </row>
    <row r="92" spans="1:29" x14ac:dyDescent="0.25">
      <c r="A92" s="18" t="s">
        <v>33</v>
      </c>
      <c r="B92" s="37" t="s">
        <v>22</v>
      </c>
      <c r="C92" s="26"/>
      <c r="D92" s="26"/>
      <c r="E92" s="26" t="str">
        <f>+E$13</f>
        <v>RT{1}</v>
      </c>
      <c r="F92" s="26" t="str">
        <f>+F$13</f>
        <v>RS{2}</v>
      </c>
      <c r="G92" s="26" t="str">
        <f>+G$13</f>
        <v>GS{3}</v>
      </c>
      <c r="H92" s="26" t="str">
        <f>+H$58</f>
        <v>GST {4}</v>
      </c>
      <c r="I92" s="26" t="str">
        <f>+I$13</f>
        <v>OL/SL</v>
      </c>
      <c r="J92" s="26"/>
      <c r="K92" s="26"/>
      <c r="L92" s="26"/>
      <c r="M92" s="26"/>
      <c r="X92" s="13" t="s">
        <v>205</v>
      </c>
      <c r="Y92" s="71" t="s">
        <v>13</v>
      </c>
      <c r="Z92" s="71" t="s">
        <v>13</v>
      </c>
      <c r="AA92" s="71" t="s">
        <v>207</v>
      </c>
    </row>
    <row r="93" spans="1:29" x14ac:dyDescent="0.25">
      <c r="A93" s="22"/>
      <c r="C93" s="71"/>
      <c r="D93" s="71"/>
      <c r="E93" s="71"/>
      <c r="F93" s="71"/>
      <c r="X93" s="134" t="s">
        <v>206</v>
      </c>
      <c r="Y93" s="38" t="s">
        <v>207</v>
      </c>
      <c r="Z93" s="38" t="s">
        <v>208</v>
      </c>
      <c r="AA93" s="38" t="s">
        <v>209</v>
      </c>
    </row>
    <row r="94" spans="1:29" x14ac:dyDescent="0.25">
      <c r="A94" s="22"/>
      <c r="B94" s="28" t="s">
        <v>23</v>
      </c>
      <c r="C94" s="72"/>
      <c r="D94" s="72"/>
      <c r="E94" s="155">
        <f>'BGS PTY16 Cost Alloc'!E94</f>
        <v>0.105545</v>
      </c>
      <c r="F94" s="155">
        <f>'BGS PTY16 Cost Alloc'!F94</f>
        <v>0.105545</v>
      </c>
      <c r="G94" s="155">
        <f>'BGS PTY16 Cost Alloc'!G94</f>
        <v>0.105545</v>
      </c>
      <c r="H94" s="155">
        <f>'BGS PTY16 Cost Alloc'!H94</f>
        <v>0.105545</v>
      </c>
      <c r="I94" s="155">
        <f>'BGS PTY16 Cost Alloc'!I94</f>
        <v>0.105545</v>
      </c>
      <c r="J94" s="72"/>
      <c r="K94" s="72"/>
      <c r="L94" s="72"/>
      <c r="M94" s="72"/>
      <c r="W94" s="13" t="s">
        <v>181</v>
      </c>
      <c r="X94" s="13">
        <v>4</v>
      </c>
      <c r="Y94" s="13">
        <f>X94*365*5/7</f>
        <v>1042.8571428571429</v>
      </c>
      <c r="Z94" s="13">
        <f>365*24</f>
        <v>8760</v>
      </c>
      <c r="AA94" s="13">
        <f>Y94/Z94</f>
        <v>0.11904761904761905</v>
      </c>
    </row>
    <row r="95" spans="1:29" x14ac:dyDescent="0.25">
      <c r="A95" s="22"/>
      <c r="B95" s="13" t="s">
        <v>20</v>
      </c>
      <c r="C95" s="73"/>
      <c r="D95" s="73"/>
      <c r="E95" s="73">
        <f>1/(1-E94)</f>
        <v>1.1179992285805322</v>
      </c>
      <c r="F95" s="73">
        <f>1/(1-F94)</f>
        <v>1.1179992285805322</v>
      </c>
      <c r="G95" s="73">
        <f>1/(1-G94)</f>
        <v>1.1179992285805322</v>
      </c>
      <c r="H95" s="73">
        <f>1/(1-H94)</f>
        <v>1.1179992285805322</v>
      </c>
      <c r="I95" s="73">
        <f>1/(1-I94)</f>
        <v>1.1179992285805322</v>
      </c>
      <c r="J95" s="73"/>
      <c r="K95" s="73"/>
      <c r="L95" s="73"/>
      <c r="M95" s="73"/>
      <c r="W95" s="13" t="s">
        <v>204</v>
      </c>
      <c r="X95" s="13">
        <f>(9*23+10*29)/52</f>
        <v>9.5576923076923084</v>
      </c>
      <c r="Y95" s="13">
        <f>X95*365*5/7</f>
        <v>2491.8269230769229</v>
      </c>
      <c r="Z95" s="13">
        <f>365*24</f>
        <v>8760</v>
      </c>
      <c r="AA95" s="13">
        <f>Y95/Z95</f>
        <v>0.28445512820512819</v>
      </c>
    </row>
    <row r="96" spans="1:29" x14ac:dyDescent="0.25">
      <c r="A96" s="22"/>
      <c r="C96" s="73"/>
      <c r="D96" s="73"/>
      <c r="E96" s="73"/>
      <c r="F96" s="73"/>
      <c r="G96" s="73"/>
      <c r="H96" s="73"/>
      <c r="I96" s="73"/>
      <c r="J96" s="73"/>
      <c r="K96" s="73"/>
      <c r="L96" s="73"/>
      <c r="M96" s="73"/>
    </row>
    <row r="97" spans="1:21" x14ac:dyDescent="0.25">
      <c r="A97" s="22"/>
      <c r="B97" s="242" t="s">
        <v>268</v>
      </c>
      <c r="C97" s="247"/>
      <c r="D97" s="247"/>
      <c r="E97" s="251">
        <f>ROUND(1-1/E98,6)</f>
        <v>9.7923999999999997E-2</v>
      </c>
      <c r="F97" s="251">
        <f>ROUND(1-1/F98,6)</f>
        <v>9.7923999999999997E-2</v>
      </c>
      <c r="G97" s="251">
        <f>ROUND(1-1/G98,6)</f>
        <v>9.7923999999999997E-2</v>
      </c>
      <c r="H97" s="251">
        <f>ROUND(1-1/H98,6)</f>
        <v>9.7923999999999997E-2</v>
      </c>
      <c r="I97" s="251">
        <f>ROUND(1-1/I98,6)</f>
        <v>9.7923999999999997E-2</v>
      </c>
      <c r="J97" s="73"/>
      <c r="K97" s="73"/>
      <c r="L97" s="73"/>
      <c r="M97" s="73"/>
    </row>
    <row r="98" spans="1:21" ht="12" customHeight="1" x14ac:dyDescent="0.25">
      <c r="A98" s="22"/>
      <c r="B98" s="242" t="s">
        <v>267</v>
      </c>
      <c r="C98" s="247"/>
      <c r="D98" s="247"/>
      <c r="E98" s="247">
        <v>1.1085534536389932</v>
      </c>
      <c r="F98" s="247">
        <v>1.1085534536389932</v>
      </c>
      <c r="G98" s="247">
        <v>1.1085534536389932</v>
      </c>
      <c r="H98" s="247">
        <v>1.1085534536389932</v>
      </c>
      <c r="I98" s="247">
        <v>1.1085534536389932</v>
      </c>
      <c r="J98" s="73"/>
      <c r="K98" s="73"/>
      <c r="L98" s="73"/>
      <c r="M98" s="47"/>
      <c r="N98" s="47"/>
      <c r="O98" s="47"/>
      <c r="P98" s="47"/>
      <c r="Q98" s="159"/>
      <c r="R98" s="159"/>
      <c r="S98" s="159"/>
      <c r="T98" s="47"/>
      <c r="U98" s="47"/>
    </row>
    <row r="99" spans="1:21" x14ac:dyDescent="0.25">
      <c r="A99" s="22"/>
      <c r="C99" s="73"/>
      <c r="D99" s="73"/>
      <c r="E99" s="73"/>
      <c r="F99" s="73"/>
      <c r="G99" s="73"/>
      <c r="H99" s="73"/>
      <c r="I99" s="73"/>
      <c r="J99" s="73"/>
      <c r="K99" s="73"/>
      <c r="L99" s="73"/>
      <c r="M99" s="47"/>
      <c r="N99" s="47"/>
      <c r="O99" s="47"/>
      <c r="P99" s="47"/>
      <c r="Q99" s="159"/>
      <c r="R99" s="159"/>
      <c r="S99" s="159"/>
      <c r="T99" s="47"/>
      <c r="U99" s="47"/>
    </row>
    <row r="100" spans="1:21" x14ac:dyDescent="0.25">
      <c r="A100" s="22"/>
      <c r="C100" s="73"/>
      <c r="D100" s="73"/>
      <c r="E100" s="73"/>
      <c r="F100" s="73"/>
      <c r="G100" s="73"/>
      <c r="H100" s="73"/>
      <c r="I100" s="73"/>
      <c r="J100" s="73"/>
      <c r="K100" s="73"/>
      <c r="L100" s="73"/>
      <c r="M100" s="47"/>
      <c r="N100" s="47"/>
      <c r="O100" s="47"/>
      <c r="P100" s="47"/>
      <c r="Q100" s="47"/>
      <c r="R100" s="47"/>
      <c r="S100" s="47"/>
      <c r="T100" s="47"/>
      <c r="U100" s="47"/>
    </row>
    <row r="101" spans="1:21" x14ac:dyDescent="0.25">
      <c r="A101" s="22"/>
      <c r="B101" s="36" t="s">
        <v>315</v>
      </c>
      <c r="C101" s="73"/>
      <c r="D101" s="73"/>
      <c r="E101" s="73"/>
      <c r="F101" s="73"/>
      <c r="G101" s="73"/>
      <c r="H101" s="73"/>
      <c r="I101" s="73"/>
      <c r="J101" s="73"/>
      <c r="K101" s="73"/>
      <c r="L101" s="73"/>
      <c r="M101" s="47"/>
      <c r="N101" s="47"/>
      <c r="O101" s="47"/>
      <c r="P101" s="47"/>
      <c r="Q101" s="47"/>
      <c r="R101" s="47"/>
      <c r="S101" s="47"/>
      <c r="T101" s="47"/>
      <c r="U101" s="47"/>
    </row>
    <row r="102" spans="1:21" x14ac:dyDescent="0.25">
      <c r="A102" s="22"/>
      <c r="B102" s="36" t="str">
        <f>'BGS PTY16 Cost Alloc'!$B$102</f>
        <v xml:space="preserve"> </v>
      </c>
      <c r="M102" s="47"/>
      <c r="N102" s="47"/>
      <c r="O102" s="47"/>
      <c r="P102" s="47"/>
      <c r="Q102" s="47"/>
      <c r="R102" s="47"/>
      <c r="S102" s="47"/>
      <c r="T102" s="47"/>
      <c r="U102" s="47"/>
    </row>
    <row r="103" spans="1:21" ht="15.6" x14ac:dyDescent="0.3">
      <c r="A103" s="22"/>
      <c r="B103" s="534" t="str">
        <f>$B$1</f>
        <v xml:space="preserve">Jersey Central Power &amp; Light </v>
      </c>
      <c r="C103" s="534"/>
      <c r="D103" s="534"/>
      <c r="E103" s="534"/>
      <c r="F103" s="534"/>
      <c r="G103" s="534"/>
      <c r="H103" s="534"/>
      <c r="I103" s="534"/>
      <c r="J103" s="534"/>
      <c r="K103" s="534"/>
      <c r="L103" s="534"/>
      <c r="M103" s="47"/>
      <c r="N103" s="47"/>
      <c r="O103" s="47"/>
      <c r="P103" s="47"/>
      <c r="Q103" s="47"/>
      <c r="R103" s="47"/>
      <c r="S103" s="47"/>
      <c r="T103" s="47"/>
      <c r="U103" s="47"/>
    </row>
    <row r="104" spans="1:21" ht="15.6" x14ac:dyDescent="0.3">
      <c r="A104" s="22"/>
      <c r="B104" s="534" t="str">
        <f>$B$2</f>
        <v>Attachment 2</v>
      </c>
      <c r="C104" s="534"/>
      <c r="D104" s="534"/>
      <c r="E104" s="534"/>
      <c r="F104" s="534"/>
      <c r="G104" s="534"/>
      <c r="H104" s="534"/>
      <c r="I104" s="534"/>
      <c r="J104" s="534"/>
      <c r="K104" s="534"/>
      <c r="L104" s="534"/>
      <c r="M104" s="47"/>
      <c r="N104" s="47"/>
      <c r="O104" s="47"/>
      <c r="P104" s="47"/>
      <c r="Q104" s="47"/>
      <c r="R104" s="47"/>
      <c r="S104" s="47"/>
      <c r="T104" s="47"/>
      <c r="U104" s="47"/>
    </row>
    <row r="105" spans="1:21" x14ac:dyDescent="0.25">
      <c r="A105" s="22"/>
      <c r="M105" s="47"/>
      <c r="N105" s="47"/>
      <c r="O105" s="47"/>
      <c r="P105" s="47"/>
      <c r="Q105" s="47"/>
      <c r="R105" s="47"/>
      <c r="S105" s="47"/>
      <c r="T105" s="47"/>
      <c r="U105" s="47"/>
    </row>
    <row r="106" spans="1:21" x14ac:dyDescent="0.25">
      <c r="A106" s="22"/>
      <c r="M106" s="47"/>
      <c r="N106" s="47"/>
      <c r="O106" s="47"/>
      <c r="P106" s="47"/>
      <c r="Q106" s="47"/>
      <c r="R106" s="47"/>
      <c r="S106" s="47"/>
      <c r="T106" s="47"/>
      <c r="U106" s="47"/>
    </row>
    <row r="107" spans="1:21" x14ac:dyDescent="0.25">
      <c r="A107" s="18" t="s">
        <v>34</v>
      </c>
      <c r="B107" s="16" t="s">
        <v>51</v>
      </c>
      <c r="M107" s="47"/>
      <c r="N107" s="47"/>
      <c r="O107" s="47"/>
      <c r="P107" s="47"/>
      <c r="Q107" s="47"/>
      <c r="R107" s="47"/>
      <c r="S107" s="47"/>
      <c r="T107" s="47"/>
      <c r="U107" s="47"/>
    </row>
    <row r="108" spans="1:21" x14ac:dyDescent="0.25">
      <c r="A108" s="22"/>
      <c r="B108" s="17" t="s">
        <v>171</v>
      </c>
      <c r="M108" s="47"/>
      <c r="N108" s="47"/>
      <c r="O108" s="47"/>
      <c r="P108" s="47"/>
      <c r="Q108" s="47"/>
      <c r="R108" s="47"/>
      <c r="S108" s="514"/>
      <c r="T108" s="47"/>
      <c r="U108" s="47"/>
    </row>
    <row r="109" spans="1:21" x14ac:dyDescent="0.25">
      <c r="A109" s="22"/>
      <c r="B109" s="17" t="s">
        <v>21</v>
      </c>
      <c r="M109" s="47"/>
      <c r="N109" s="47"/>
      <c r="O109" s="47"/>
      <c r="P109" s="47"/>
      <c r="Q109" s="47"/>
      <c r="R109" s="47"/>
      <c r="S109" s="484"/>
      <c r="T109" s="47"/>
      <c r="U109" s="47"/>
    </row>
    <row r="110" spans="1:21" x14ac:dyDescent="0.25">
      <c r="A110" s="22"/>
      <c r="B110" s="16"/>
      <c r="C110" s="26"/>
      <c r="D110" s="26"/>
      <c r="E110" s="26" t="str">
        <f>+E$13</f>
        <v>RT{1}</v>
      </c>
      <c r="F110" s="26" t="str">
        <f>+F$13</f>
        <v>RS{2}</v>
      </c>
      <c r="G110" s="26" t="str">
        <f>+G$13</f>
        <v>GS{3}</v>
      </c>
      <c r="H110" s="26" t="str">
        <f>+H$58</f>
        <v>GST {4}</v>
      </c>
      <c r="I110" s="26" t="str">
        <f>+I$13</f>
        <v>OL/SL</v>
      </c>
      <c r="J110" s="26"/>
      <c r="K110" s="26"/>
      <c r="L110" s="26"/>
      <c r="M110" s="44"/>
      <c r="N110" s="515"/>
      <c r="O110" s="47"/>
      <c r="P110" s="132"/>
      <c r="Q110" s="47"/>
      <c r="R110" s="47"/>
      <c r="S110" s="47"/>
      <c r="T110" s="47"/>
      <c r="U110" s="47"/>
    </row>
    <row r="111" spans="1:21" x14ac:dyDescent="0.25">
      <c r="A111" s="22"/>
      <c r="M111" s="47"/>
      <c r="N111" s="47"/>
      <c r="O111" s="47"/>
      <c r="P111" s="47"/>
      <c r="Q111" s="47"/>
      <c r="R111" s="114"/>
      <c r="S111" s="517"/>
      <c r="T111" s="47"/>
      <c r="U111" s="47"/>
    </row>
    <row r="112" spans="1:21" x14ac:dyDescent="0.25">
      <c r="A112" s="22"/>
      <c r="B112" s="28" t="s">
        <v>17</v>
      </c>
      <c r="C112" s="74"/>
      <c r="D112" s="74"/>
      <c r="E112" s="75">
        <f>(SUMPRODUCT(E20:E23,E65:E68,$D84:$D87,$H84:$H87)*E95+SUMPRODUCT(Q20:Q23,E65:E68,$F84:$F87,$I84:$I87)*E95)/SUM(E65:E68)</f>
        <v>59.786859743731554</v>
      </c>
      <c r="F112" s="75">
        <f>(SUMPRODUCT(F20:F23,F65:F68,$D84:$D87,$H84:$H87)*F95+SUMPRODUCT(R20:R23,F65:F68,$F84:$F87,$I84:$I87)*F95)/SUM(F65:F68)</f>
        <v>59.899709334141981</v>
      </c>
      <c r="G112" s="75">
        <f>(SUMPRODUCT(G20:G23,G65:G68,$D84:$D87,$H84:$H87)*G95+SUMPRODUCT(S20:S23,G65:G68,$F84:$F87,$I84:$I87)*G95)/SUM(G65:G68)</f>
        <v>61.561229211884793</v>
      </c>
      <c r="H112" s="75">
        <f>(SUMPRODUCT(H20:H23,H65:H68,$D84:$D87,$H84:$H87)*H95+SUMPRODUCT(T20:T23,H65:H68,$F84:$F87,$I84:$I87)*H95)/SUM(H65:H68)</f>
        <v>62.229736906395416</v>
      </c>
      <c r="I112" s="75">
        <f>(SUMPRODUCT(I20:I23,I65:I68,$D84:$D87,$H84:$H87)*I95+SUMPRODUCT(U20:U23,I65:I68,$F84:$F87,$I84:$I87)*I95)/SUM(I65:I68)</f>
        <v>51.597640979796701</v>
      </c>
      <c r="J112" s="76"/>
      <c r="K112" s="74"/>
      <c r="L112" s="74"/>
      <c r="M112" s="518"/>
      <c r="N112" s="47"/>
      <c r="O112" s="47"/>
      <c r="P112" s="47"/>
      <c r="Q112" s="47"/>
      <c r="R112" s="47"/>
      <c r="S112" s="47"/>
      <c r="T112" s="47"/>
      <c r="U112" s="47"/>
    </row>
    <row r="113" spans="1:21" x14ac:dyDescent="0.25">
      <c r="A113" s="22"/>
      <c r="B113" s="77" t="s">
        <v>41</v>
      </c>
      <c r="C113" s="74"/>
      <c r="D113" s="74"/>
      <c r="E113" s="75">
        <f>(SUMPRODUCT(E20:E23,E65:E68,$D84:$D87,$H84:$H87)*E95)/SUMPRODUCT(E20:E23,E65:E68)</f>
        <v>73.326508575828555</v>
      </c>
      <c r="F113" s="75">
        <f>(SUMPRODUCT(F20:F23,F65:F68,$D84:$D87,$H84:$H87)*F95)/SUMPRODUCT(F20:F23,F65:F68)</f>
        <v>73.438052671147886</v>
      </c>
      <c r="G113" s="75">
        <f>(SUMPRODUCT(G20:G23,G65:G68,$D84:$D87,$H84:$H87)*G95)/SUMPRODUCT(G20:G23,G65:G68)</f>
        <v>72.866154195561705</v>
      </c>
      <c r="H113" s="75">
        <f>(SUMPRODUCT(H20:H23,H65:H68,$D84:$D87,$H84:$H87)*H95)/SUMPRODUCT(H20:H23,H65:H68)</f>
        <v>73.828477795593827</v>
      </c>
      <c r="I113" s="75">
        <f>(SUMPRODUCT(I20:I23,I65:I68,$D84:$D87,$H84:$H87)*I95)/SUMPRODUCT(I20:I23,I65:I68)</f>
        <v>72.292865684649385</v>
      </c>
      <c r="J113" s="76"/>
      <c r="K113" s="74"/>
      <c r="L113" s="74"/>
      <c r="M113" s="518"/>
      <c r="N113" s="47"/>
      <c r="O113" s="47"/>
      <c r="P113" s="47"/>
      <c r="Q113" s="47"/>
      <c r="R113" s="47"/>
      <c r="S113" s="524"/>
      <c r="T113" s="47"/>
      <c r="U113" s="47"/>
    </row>
    <row r="114" spans="1:21" x14ac:dyDescent="0.25">
      <c r="A114" s="22"/>
      <c r="B114" s="77" t="s">
        <v>42</v>
      </c>
      <c r="C114" s="74"/>
      <c r="D114" s="74"/>
      <c r="E114" s="75">
        <f>(SUMPRODUCT(Q20:Q23,E65:E68,$F84:$F87,$I84:$I87)*E95)/SUMPRODUCT(Q20:Q23,E65:E68)</f>
        <v>45.116626521895427</v>
      </c>
      <c r="F114" s="75">
        <f>(SUMPRODUCT(R20:R23,F65:F68,$F84:$F87,$I84:$I87)*F95)/SUMPRODUCT(R20:R23,F65:F68)</f>
        <v>45.22170500512081</v>
      </c>
      <c r="G114" s="75">
        <f>(SUMPRODUCT(S20:S23,G65:G68,$F84:$F87,$I84:$I87)*G95)/SUMPRODUCT(S20:S23,G65:G68)</f>
        <v>45.082447333857758</v>
      </c>
      <c r="H114" s="75">
        <f>(SUMPRODUCT(T20:T23,H65:H68,$F84:$F87,$I84:$I87)*H95)/SUMPRODUCT(T20:T23,H65:H68)</f>
        <v>45.632579780634664</v>
      </c>
      <c r="I114" s="75">
        <f>(SUMPRODUCT(U20:U23,I65:I68,$F84:$F87,$I84:$I87)*I95)/SUMPRODUCT(U20:U23,I65:I68)</f>
        <v>44.911277870382428</v>
      </c>
      <c r="J114" s="76"/>
      <c r="K114" s="74"/>
      <c r="L114" s="74"/>
      <c r="M114" s="44"/>
      <c r="N114" s="515"/>
      <c r="O114" s="47"/>
      <c r="P114" s="132"/>
      <c r="Q114" s="47"/>
      <c r="R114" s="47"/>
      <c r="S114" s="47"/>
      <c r="T114" s="47"/>
      <c r="U114" s="47"/>
    </row>
    <row r="115" spans="1:21" x14ac:dyDescent="0.25">
      <c r="A115" s="22"/>
      <c r="C115" s="143"/>
      <c r="D115" s="143"/>
      <c r="E115" s="144"/>
      <c r="F115" s="144"/>
      <c r="G115" s="144"/>
      <c r="H115" s="144"/>
      <c r="I115" s="144"/>
      <c r="J115" s="76"/>
      <c r="K115" s="143"/>
      <c r="L115" s="143"/>
      <c r="M115" s="47"/>
      <c r="N115" s="47"/>
      <c r="O115" s="47"/>
      <c r="P115" s="47"/>
      <c r="Q115" s="47"/>
      <c r="R115" s="114"/>
      <c r="S115" s="517"/>
      <c r="T115" s="47"/>
      <c r="U115" s="47"/>
    </row>
    <row r="116" spans="1:21" x14ac:dyDescent="0.25">
      <c r="A116" s="22"/>
      <c r="B116" s="28" t="s">
        <v>18</v>
      </c>
      <c r="C116" s="74"/>
      <c r="D116" s="74"/>
      <c r="E116" s="75">
        <f>(SUMPRODUCT(E15:E19,E60:E64,$D79:$D83,$H79:$H83)*E95+SUMPRODUCT(Q15:Q19,E60:E64,$F79:$F83,$I79:$I83)*E95+SUMPRODUCT(E24:E26,E69:E71,$D88:$D90,$H88:$H90)*E95+SUMPRODUCT(Q24:Q26,E69:E71,$F88:$F90,$I88:$I90)*E95)/SUM(E60:E64,E69:E71)</f>
        <v>56.415517747005765</v>
      </c>
      <c r="F116" s="75">
        <f>(SUMPRODUCT(F15:F19,F60:F64,$D79:$D83,$H79:$H83)*F95+SUMPRODUCT(R15:R19,F60:F64,$F79:$F83,$I79:$I83)*F95+SUMPRODUCT(F24:F26,F69:F71,$D88:$D90,$H88:$H90)*F95+SUMPRODUCT(R24:R26,F69:F71,$F88:$F90,$I88:$I90)*F95)/SUM(F60:F64,F69:F71)</f>
        <v>55.972598535164899</v>
      </c>
      <c r="G116" s="75">
        <f>(SUMPRODUCT(G15:G19,G60:G64,$D79:$D83,$H79:$H83)*G95+SUMPRODUCT(S15:S19,G60:G64,$F79:$F83,$I79:$I83)*G95+SUMPRODUCT(G24:G26,G69:G71,$D88:$D90,$H88:$H90)*G95+SUMPRODUCT(S24:S26,G69:G71,$F88:$F90,$I88:$I90)*G95)/SUM(G60:G64,G69:G71)</f>
        <v>56.902564987312608</v>
      </c>
      <c r="H116" s="75">
        <f>(SUMPRODUCT(H15:H19,H60:H64,$D79:$D83,$H79:$H83)*H95+SUMPRODUCT(T15:T19,H60:H64,$F79:$F83,$I79:$I83)*H95+SUMPRODUCT(H24:H26,H69:H71,$D88:$D90,$H88:$H90)*H95+SUMPRODUCT(T24:T26,H69:H71,$F88:$F90,$I88:$I90)*H95)/SUM(H60:H64,H69:H71)</f>
        <v>57.49054891959144</v>
      </c>
      <c r="I116" s="75">
        <f>(SUMPRODUCT(I15:I19,I60:I64,$D79:$D83,$H79:$H83)*I95+SUMPRODUCT(U15:U19,I60:I64,$F79:$F83,$I79:$I83)*I95+SUMPRODUCT(I24:I26,I69:I71,$D88:$D90,$H88:$H90)*I95+SUMPRODUCT(U24:U26,I69:I71,$F88:$F90,$I88:$I90)*I95)/SUM(I60:I64,I69:I71)</f>
        <v>51.145075858690177</v>
      </c>
      <c r="J116" s="76"/>
      <c r="K116" s="74"/>
      <c r="L116" s="74"/>
      <c r="M116" s="520"/>
      <c r="N116" s="47"/>
      <c r="O116" s="47"/>
      <c r="P116" s="47"/>
      <c r="Q116" s="47"/>
      <c r="R116" s="47"/>
      <c r="S116" s="47"/>
      <c r="T116" s="47"/>
      <c r="U116" s="47"/>
    </row>
    <row r="117" spans="1:21" x14ac:dyDescent="0.25">
      <c r="A117" s="22"/>
      <c r="B117" s="77" t="s">
        <v>41</v>
      </c>
      <c r="C117" s="74"/>
      <c r="D117" s="74"/>
      <c r="E117" s="75">
        <f>(SUMPRODUCT(E15:E19,E60:E64,$D79:$D83,$H79:$H83)*E95+SUMPRODUCT(E24:E26,E69:E71,$D88:$D90,$H88:$H90)*E95)/(SUMPRODUCT(E15:E19,E60:E64)+SUMPRODUCT(E24:E26,E69:E71))</f>
        <v>66.682815383136202</v>
      </c>
      <c r="F117" s="75">
        <f>(SUMPRODUCT(F15:F19,F60:F64,$D79:$D83,$H79:$H83)*F95+SUMPRODUCT(F24:F26,F69:F71,$D88:$D90,$H88:$H90)*F95)/(SUMPRODUCT(F15:F19,F60:F64)+SUMPRODUCT(F24:F26,F69:F71))</f>
        <v>65.723601600806319</v>
      </c>
      <c r="G117" s="75">
        <f>(SUMPRODUCT(G15:G19,G60:G64,$D79:$D83,$H79:$H83)*G95+SUMPRODUCT(G24:G26,G69:G71,$D88:$D90,$H88:$H90)*G95)/(SUMPRODUCT(G15:G19,G60:G64)+SUMPRODUCT(G24:G26,G69:G71))</f>
        <v>64.832973093707892</v>
      </c>
      <c r="H117" s="75">
        <f>(SUMPRODUCT(H15:H19,H60:H64,$D79:$D83,$H79:$H83)*H95+SUMPRODUCT(H24:H26,H69:H71,$D88:$D90,$H88:$H90)*H95)/(SUMPRODUCT(H15:H19,H60:H64)+SUMPRODUCT(H24:H26,H69:H71))</f>
        <v>65.911759918044552</v>
      </c>
      <c r="I117" s="75">
        <f>(SUMPRODUCT(I15:I19,I60:I64,$D79:$D83,$H79:$H83)*I95+SUMPRODUCT(I24:I26,I69:I71,$D88:$D90,$H88:$H90)*I95)/(SUMPRODUCT(I15:I19,I60:I64)+SUMPRODUCT(I24:I26,I69:I71))</f>
        <v>65.009921079586661</v>
      </c>
      <c r="J117" s="76"/>
      <c r="K117" s="74"/>
      <c r="L117" s="74"/>
      <c r="M117" s="518"/>
      <c r="N117" s="47"/>
      <c r="O117" s="47"/>
      <c r="P117" s="47"/>
      <c r="Q117" s="47"/>
      <c r="R117" s="47"/>
      <c r="S117" s="522"/>
      <c r="T117" s="47"/>
      <c r="U117" s="47"/>
    </row>
    <row r="118" spans="1:21" x14ac:dyDescent="0.25">
      <c r="A118" s="22"/>
      <c r="B118" s="77" t="s">
        <v>42</v>
      </c>
      <c r="C118" s="74"/>
      <c r="D118" s="74"/>
      <c r="E118" s="75">
        <f>(SUMPRODUCT(Q15:Q19,E60:E64,$F79:$F83,$I79:$I83)*E95+SUMPRODUCT(Q24:Q26,E69:E71,$F88:$F90,$I88:$I90)*E95)/(SUMPRODUCT(Q15:Q19,E60:E64)+SUMPRODUCT(Q24:Q26,E69:E71))</f>
        <v>46.878380465085087</v>
      </c>
      <c r="F118" s="75">
        <f>(SUMPRODUCT(R15:R19,F60:F64,$F79:$F83,$I79:$I83)*F95+SUMPRODUCT(R24:R26,F69:F71,$F88:$F90,$I88:$I90)*F95)/(SUMPRODUCT(R15:R19,F60:F64)+SUMPRODUCT(R24:R26,F69:F71))</f>
        <v>46.140226869370096</v>
      </c>
      <c r="G118" s="75">
        <f>(SUMPRODUCT(S15:S19,G60:G64,$F79:$F83,$I79:$I83)*G95+SUMPRODUCT(S24:S26,G69:G71,$F88:$F90,$I88:$I90)*G95)/(SUMPRODUCT(S15:S19,G60:G64)+SUMPRODUCT(S24:S26,G69:G71))</f>
        <v>45.851139011417835</v>
      </c>
      <c r="H118" s="75">
        <f>(SUMPRODUCT(T15:T19,H60:H64,$F79:$F83,$I79:$I83)*H95+SUMPRODUCT(T24:T26,H69:H71,$F88:$F90,$I88:$I90)*H95)/(SUMPRODUCT(T15:T19,H60:H64)+SUMPRODUCT(T24:T26,H69:H71))</f>
        <v>46.683235067277948</v>
      </c>
      <c r="I118" s="75">
        <f>(SUMPRODUCT(U15:U19,I60:I64,$F79:$F83,$I79:$I83)*I95+SUMPRODUCT(U24:U26,I69:I71,$F88:$F90,$I88:$I90)*I95)/(SUMPRODUCT(U15:U19,I60:I64)+SUMPRODUCT(U24:U26,I69:I71))</f>
        <v>45.286802864670065</v>
      </c>
      <c r="J118" s="76"/>
      <c r="K118" s="74"/>
      <c r="L118" s="74"/>
      <c r="M118" s="44"/>
      <c r="N118" s="515"/>
      <c r="O118" s="47"/>
      <c r="P118" s="132"/>
      <c r="Q118" s="47"/>
      <c r="R118" s="47"/>
      <c r="S118" s="47"/>
      <c r="T118" s="47"/>
      <c r="U118" s="47"/>
    </row>
    <row r="119" spans="1:21" x14ac:dyDescent="0.25">
      <c r="A119" s="22"/>
      <c r="C119" s="143"/>
      <c r="D119" s="143"/>
      <c r="E119" s="144"/>
      <c r="F119" s="144"/>
      <c r="G119" s="144"/>
      <c r="H119" s="144"/>
      <c r="I119" s="144"/>
      <c r="J119" s="76"/>
      <c r="K119" s="143"/>
      <c r="L119" s="143"/>
      <c r="M119" s="47"/>
      <c r="N119" s="47"/>
      <c r="O119" s="47"/>
      <c r="P119" s="47"/>
      <c r="Q119" s="47"/>
      <c r="R119" s="114"/>
      <c r="S119" s="517"/>
      <c r="T119" s="47"/>
      <c r="U119" s="47"/>
    </row>
    <row r="120" spans="1:21" x14ac:dyDescent="0.25">
      <c r="A120" s="22"/>
      <c r="B120" s="13" t="s">
        <v>16</v>
      </c>
      <c r="C120" s="74"/>
      <c r="D120" s="78"/>
      <c r="E120" s="79">
        <f>(E112*SUM(E65:E68)+E116*SUM(E60:E64,E69:E71))/E72</f>
        <v>57.503554153168693</v>
      </c>
      <c r="F120" s="79">
        <f>(F112*SUM(F65:F68)+F116*SUM(F60:F64,F69:F71))/F72</f>
        <v>57.60358743555414</v>
      </c>
      <c r="G120" s="79">
        <f>(G112*SUM(G65:G68)+G116*SUM(G60:G64,G69:G71))/G72</f>
        <v>58.605624030274377</v>
      </c>
      <c r="H120" s="79">
        <f>(H112*SUM(H65:H68)+H116*SUM(H60:H64,H69:H71))/H72</f>
        <v>58.800237330982426</v>
      </c>
      <c r="I120" s="79">
        <f>(I112*SUM(I65:I68)+I116*SUM(I60:I64,I69:I71))/I72</f>
        <v>51.295846422665115</v>
      </c>
      <c r="J120" s="76"/>
      <c r="K120" s="78"/>
      <c r="L120" s="78"/>
      <c r="M120" s="518"/>
      <c r="N120" s="47"/>
      <c r="O120" s="47"/>
      <c r="P120" s="47"/>
      <c r="Q120" s="47"/>
      <c r="R120" s="47"/>
      <c r="S120" s="47"/>
      <c r="T120" s="47"/>
      <c r="U120" s="47"/>
    </row>
    <row r="121" spans="1:21" x14ac:dyDescent="0.25">
      <c r="A121" s="22"/>
      <c r="C121" s="74"/>
      <c r="D121" s="78"/>
      <c r="E121" s="78"/>
      <c r="F121" s="78"/>
      <c r="G121" s="78"/>
      <c r="H121" s="78"/>
      <c r="I121" s="78"/>
      <c r="J121" s="78"/>
      <c r="K121" s="78"/>
      <c r="L121" s="78"/>
      <c r="M121" s="518"/>
      <c r="N121" s="47"/>
      <c r="O121" s="47"/>
      <c r="P121" s="47"/>
      <c r="Q121" s="47"/>
      <c r="R121" s="47"/>
      <c r="S121" s="522"/>
      <c r="T121" s="47"/>
      <c r="U121" s="47"/>
    </row>
    <row r="122" spans="1:21" x14ac:dyDescent="0.25">
      <c r="A122" s="22"/>
      <c r="B122" s="13" t="s">
        <v>44</v>
      </c>
      <c r="C122" s="80">
        <f>SUMPRODUCT(C120:I120,C72:I72)/SUM(C72:I72)</f>
        <v>57.956679362576367</v>
      </c>
      <c r="D122" s="78"/>
      <c r="E122" s="78"/>
      <c r="F122" s="78"/>
      <c r="G122" s="78"/>
      <c r="H122" s="78"/>
      <c r="I122" s="78"/>
      <c r="J122" s="78"/>
      <c r="K122" s="78"/>
      <c r="L122" s="78"/>
      <c r="M122" s="44"/>
      <c r="N122" s="515"/>
      <c r="O122" s="47"/>
      <c r="P122" s="132"/>
      <c r="Q122" s="47"/>
      <c r="R122" s="47"/>
      <c r="S122" s="47"/>
      <c r="T122" s="47"/>
      <c r="U122" s="47"/>
    </row>
    <row r="123" spans="1:21" x14ac:dyDescent="0.25">
      <c r="A123" s="22"/>
      <c r="C123" s="74"/>
      <c r="D123" s="78"/>
      <c r="E123" s="78"/>
      <c r="F123" s="78"/>
      <c r="G123" s="78"/>
      <c r="H123" s="78"/>
      <c r="I123" s="78"/>
      <c r="J123" s="78"/>
      <c r="K123" s="78"/>
      <c r="L123" s="78"/>
      <c r="M123" s="47"/>
      <c r="N123" s="47"/>
      <c r="O123" s="47"/>
      <c r="P123" s="47"/>
      <c r="Q123" s="47"/>
      <c r="R123" s="114"/>
      <c r="S123" s="517"/>
      <c r="T123" s="47"/>
      <c r="U123" s="47"/>
    </row>
    <row r="124" spans="1:21" x14ac:dyDescent="0.25">
      <c r="A124" s="22"/>
      <c r="C124" s="78"/>
      <c r="D124" s="78"/>
      <c r="E124" s="78"/>
      <c r="F124" s="78"/>
      <c r="G124" s="78"/>
      <c r="H124" s="78"/>
      <c r="I124" s="78"/>
      <c r="J124" s="78"/>
      <c r="K124" s="78"/>
      <c r="L124" s="78"/>
      <c r="M124" s="518"/>
      <c r="N124" s="47"/>
      <c r="O124" s="47"/>
      <c r="P124" s="47"/>
      <c r="Q124" s="47"/>
      <c r="R124" s="47"/>
      <c r="S124" s="47"/>
      <c r="T124" s="47"/>
      <c r="U124" s="47"/>
    </row>
    <row r="125" spans="1:21" x14ac:dyDescent="0.25">
      <c r="A125" s="18" t="s">
        <v>35</v>
      </c>
      <c r="B125" s="16" t="s">
        <v>49</v>
      </c>
      <c r="C125" s="78"/>
      <c r="D125" s="78"/>
      <c r="E125" s="78"/>
      <c r="F125" s="78"/>
      <c r="G125" s="78"/>
      <c r="H125" s="78"/>
      <c r="I125" s="78"/>
      <c r="J125" s="78"/>
      <c r="K125" s="78"/>
      <c r="L125" s="78"/>
      <c r="M125" s="516"/>
      <c r="N125" s="47"/>
      <c r="O125" s="47"/>
      <c r="P125" s="47"/>
      <c r="Q125" s="47"/>
      <c r="R125" s="47"/>
      <c r="S125" s="522"/>
      <c r="T125" s="47"/>
      <c r="U125" s="47"/>
    </row>
    <row r="126" spans="1:21" x14ac:dyDescent="0.25">
      <c r="A126" s="22"/>
      <c r="B126" s="17" t="s">
        <v>172</v>
      </c>
      <c r="C126" s="78"/>
      <c r="D126" s="78"/>
      <c r="E126" s="78"/>
      <c r="F126" s="78"/>
      <c r="G126" s="78"/>
      <c r="H126" s="78"/>
      <c r="I126" s="78"/>
      <c r="J126" s="78"/>
      <c r="K126" s="78"/>
      <c r="L126" s="78"/>
      <c r="M126" s="44"/>
      <c r="N126" s="515"/>
      <c r="O126" s="47"/>
      <c r="P126" s="132"/>
      <c r="Q126" s="47"/>
      <c r="R126" s="47"/>
      <c r="S126" s="47"/>
      <c r="T126" s="47"/>
      <c r="U126" s="47"/>
    </row>
    <row r="127" spans="1:21" x14ac:dyDescent="0.25">
      <c r="A127" s="22"/>
      <c r="B127" s="17" t="s">
        <v>43</v>
      </c>
      <c r="C127" s="78"/>
      <c r="D127" s="78"/>
      <c r="E127" s="78"/>
      <c r="F127" s="78"/>
      <c r="G127" s="78"/>
      <c r="H127" s="78"/>
      <c r="I127" s="78"/>
      <c r="J127" s="78"/>
      <c r="K127" s="78"/>
      <c r="L127" s="78"/>
      <c r="M127" s="47"/>
      <c r="N127" s="47"/>
      <c r="O127" s="47"/>
      <c r="P127" s="47"/>
      <c r="Q127" s="47"/>
      <c r="R127" s="114"/>
      <c r="S127" s="517"/>
      <c r="T127" s="47"/>
      <c r="U127" s="47"/>
    </row>
    <row r="128" spans="1:21" x14ac:dyDescent="0.25">
      <c r="A128" s="22"/>
      <c r="B128" s="16"/>
      <c r="C128" s="26"/>
      <c r="D128" s="26"/>
      <c r="E128" s="26" t="str">
        <f>+E$13</f>
        <v>RT{1}</v>
      </c>
      <c r="F128" s="26" t="str">
        <f>+F$13</f>
        <v>RS{2}</v>
      </c>
      <c r="G128" s="26" t="str">
        <f>+G$13</f>
        <v>GS{3}</v>
      </c>
      <c r="H128" s="26" t="str">
        <f>+H$58</f>
        <v>GST {4}</v>
      </c>
      <c r="I128" s="26" t="str">
        <f>+I$13</f>
        <v>OL/SL</v>
      </c>
      <c r="J128" s="26" t="s">
        <v>13</v>
      </c>
      <c r="K128" s="26"/>
      <c r="L128" s="26"/>
      <c r="M128" s="44"/>
      <c r="N128" s="47"/>
      <c r="O128" s="47"/>
      <c r="P128" s="47"/>
      <c r="Q128" s="47"/>
      <c r="R128" s="47"/>
      <c r="S128" s="47"/>
      <c r="T128" s="47"/>
      <c r="U128" s="47"/>
    </row>
    <row r="129" spans="1:21" x14ac:dyDescent="0.25">
      <c r="A129" s="22"/>
      <c r="C129" s="81"/>
      <c r="M129" s="516"/>
      <c r="N129" s="47"/>
      <c r="O129" s="47"/>
      <c r="P129" s="47"/>
      <c r="Q129" s="47"/>
      <c r="R129" s="47"/>
      <c r="S129" s="522"/>
      <c r="T129" s="47"/>
      <c r="U129" s="47"/>
    </row>
    <row r="130" spans="1:21" x14ac:dyDescent="0.25">
      <c r="A130" s="22"/>
      <c r="B130" s="28" t="s">
        <v>17</v>
      </c>
      <c r="C130" s="76"/>
      <c r="D130" s="76"/>
      <c r="E130" s="76">
        <f>SUM(E65:E68)*E112/1000</f>
        <v>4555.1608438749072</v>
      </c>
      <c r="F130" s="76">
        <f>SUM(F65:F68)*F112/1000</f>
        <v>219443.96283894384</v>
      </c>
      <c r="G130" s="76">
        <f>SUM(G65:G68)*G112/1000</f>
        <v>134670.11379933494</v>
      </c>
      <c r="H130" s="76">
        <f>SUM(H65:H68)*H112/1000</f>
        <v>2029.685098938993</v>
      </c>
      <c r="I130" s="76">
        <f>SUM(I65:I68)*I112/1000</f>
        <v>1964.5801803057593</v>
      </c>
      <c r="J130" s="76">
        <f>SUM(E130:I130)</f>
        <v>362663.50276139844</v>
      </c>
      <c r="K130" s="76"/>
      <c r="L130" s="76"/>
      <c r="M130" s="44"/>
      <c r="N130" s="515"/>
      <c r="O130" s="47"/>
      <c r="P130" s="132"/>
      <c r="Q130" s="47"/>
      <c r="R130" s="47"/>
      <c r="S130" s="47"/>
      <c r="T130" s="47"/>
      <c r="U130" s="47"/>
    </row>
    <row r="131" spans="1:21" x14ac:dyDescent="0.25">
      <c r="A131" s="22"/>
      <c r="B131" s="77" t="s">
        <v>41</v>
      </c>
      <c r="C131" s="76"/>
      <c r="D131" s="76"/>
      <c r="E131" s="76">
        <f>SUMPRODUCT(E65:E68,E20:E23)*E113/1000</f>
        <v>2905.3250457886884</v>
      </c>
      <c r="F131" s="76">
        <f>SUMPRODUCT(F65:F68,F20:F23)*F113/1000</f>
        <v>139954.31352658712</v>
      </c>
      <c r="G131" s="76">
        <f>SUMPRODUCT(G65:G68,G20:G23)*G113/1000</f>
        <v>94541.98351790334</v>
      </c>
      <c r="H131" s="76">
        <f>SUMPRODUCT(H65:H68,H20:H23)*H113/1000</f>
        <v>1417.432502226739</v>
      </c>
      <c r="I131" s="76">
        <f>SUMPRODUCT(I65:I68,I20:I23)*I113/1000</f>
        <v>672.15074079109456</v>
      </c>
      <c r="J131" s="76">
        <f>SUM(E131:I131)</f>
        <v>239491.20533329697</v>
      </c>
      <c r="K131" s="76"/>
      <c r="L131" s="76"/>
      <c r="M131" s="47"/>
      <c r="N131" s="47"/>
      <c r="O131" s="47"/>
      <c r="P131" s="47"/>
      <c r="Q131" s="47"/>
      <c r="R131" s="114"/>
      <c r="S131" s="517"/>
      <c r="T131" s="47"/>
      <c r="U131" s="47"/>
    </row>
    <row r="132" spans="1:21" x14ac:dyDescent="0.25">
      <c r="A132" s="22"/>
      <c r="B132" s="77" t="s">
        <v>42</v>
      </c>
      <c r="C132" s="76"/>
      <c r="D132" s="76"/>
      <c r="E132" s="76">
        <f>SUMPRODUCT(E65:E68,Q20:Q23)*E114/1000</f>
        <v>1649.8357980862181</v>
      </c>
      <c r="F132" s="76">
        <f>SUMPRODUCT(F65:F68,R20:R23)*F114/1000</f>
        <v>79489.649312356705</v>
      </c>
      <c r="G132" s="76">
        <f>SUMPRODUCT(G65:G68,S20:S23)*G114/1000</f>
        <v>40128.130281431593</v>
      </c>
      <c r="H132" s="76">
        <f>SUMPRODUCT(H65:H68,T20:T23)*H114/1000</f>
        <v>612.25259671225399</v>
      </c>
      <c r="I132" s="76">
        <f>SUMPRODUCT(I65:I68,U20:U23)*I114/1000</f>
        <v>1292.4294395146646</v>
      </c>
      <c r="J132" s="76">
        <f>SUM(E132:I132)</f>
        <v>123172.29742810143</v>
      </c>
      <c r="K132" s="76"/>
      <c r="L132" s="76"/>
      <c r="M132" s="521"/>
      <c r="N132" s="47"/>
      <c r="O132" s="47"/>
      <c r="P132" s="47"/>
      <c r="Q132" s="47"/>
      <c r="R132" s="47"/>
      <c r="S132" s="47"/>
      <c r="T132" s="47"/>
      <c r="U132" s="47"/>
    </row>
    <row r="133" spans="1:21" x14ac:dyDescent="0.25">
      <c r="A133" s="22"/>
      <c r="C133" s="82"/>
      <c r="D133" s="82"/>
      <c r="E133" s="82"/>
      <c r="F133" s="82"/>
      <c r="G133" s="82"/>
      <c r="H133" s="82"/>
      <c r="I133" s="82"/>
      <c r="J133" s="76"/>
      <c r="K133" s="82"/>
      <c r="L133" s="82"/>
      <c r="M133" s="516"/>
      <c r="N133" s="47"/>
      <c r="O133" s="47"/>
      <c r="P133" s="47"/>
      <c r="Q133" s="47"/>
      <c r="R133" s="47"/>
      <c r="S133" s="522"/>
      <c r="T133" s="47"/>
      <c r="U133" s="47"/>
    </row>
    <row r="134" spans="1:21" x14ac:dyDescent="0.25">
      <c r="A134" s="22"/>
      <c r="B134" s="28" t="s">
        <v>18</v>
      </c>
      <c r="C134" s="82"/>
      <c r="D134" s="82"/>
      <c r="E134" s="82">
        <f>SUM(E60:E64,E69:E71)*E116/1000</f>
        <v>9020.2207170510046</v>
      </c>
      <c r="F134" s="82">
        <f>SUM(F60:F64,F69:F71)*F116/1000</f>
        <v>288681.08376685</v>
      </c>
      <c r="G134" s="82">
        <f>SUM(G60:G64,G69:G71)*G116/1000</f>
        <v>216029.22231277262</v>
      </c>
      <c r="H134" s="82">
        <f>SUM(H60:H64,H69:H71)*H116/1000</f>
        <v>4910.0953115755456</v>
      </c>
      <c r="I134" s="82">
        <f>SUM(I60:I64,I69:I71)*I116/1000</f>
        <v>3897.9708114942132</v>
      </c>
      <c r="J134" s="76">
        <f>SUM(E134:I134)</f>
        <v>522538.59291974345</v>
      </c>
      <c r="K134" s="82"/>
      <c r="L134" s="82"/>
      <c r="M134" s="44"/>
      <c r="N134" s="515"/>
      <c r="O134" s="47"/>
      <c r="P134" s="132"/>
      <c r="Q134" s="47"/>
      <c r="R134" s="47"/>
      <c r="S134" s="47"/>
      <c r="T134" s="47"/>
      <c r="U134" s="47"/>
    </row>
    <row r="135" spans="1:21" x14ac:dyDescent="0.25">
      <c r="A135" s="22"/>
      <c r="B135" s="77" t="s">
        <v>41</v>
      </c>
      <c r="C135" s="76"/>
      <c r="D135" s="76"/>
      <c r="E135" s="76">
        <f>(SUMPRODUCT(E60:E64,E15:E19)+SUMPRODUCT(E69:E71,E24:E26))*E117/1000</f>
        <v>5134.3810037555231</v>
      </c>
      <c r="F135" s="76">
        <f>(SUMPRODUCT(F60:F64,F15:F19)+SUMPRODUCT(F69:F71,F24:F26))*F117/1000</f>
        <v>170190.36285608148</v>
      </c>
      <c r="G135" s="76">
        <f>(SUMPRODUCT(G60:G64,G15:G19)+SUMPRODUCT(G69:G71,G24:G26))*G117/1000</f>
        <v>143303.48187928949</v>
      </c>
      <c r="H135" s="76">
        <f>(SUMPRODUCT(H60:H64,H15:H19)+SUMPRODUCT(H69:H71,H24:H26))*H117/1000</f>
        <v>3163.939504744601</v>
      </c>
      <c r="I135" s="76">
        <f>(SUMPRODUCT(I60:I64,I15:I19)+SUMPRODUCT(I69:I71,I24:I26))*I117/1000</f>
        <v>1471.6631741048252</v>
      </c>
      <c r="J135" s="76">
        <f>SUM(E135:I135)</f>
        <v>323263.82841797592</v>
      </c>
      <c r="K135" s="76"/>
      <c r="L135" s="76"/>
      <c r="M135" s="47"/>
      <c r="N135" s="47"/>
      <c r="O135" s="47"/>
      <c r="P135" s="426"/>
      <c r="Q135" s="47"/>
      <c r="R135" s="114"/>
      <c r="S135" s="517"/>
      <c r="T135" s="47"/>
      <c r="U135" s="47"/>
    </row>
    <row r="136" spans="1:21" x14ac:dyDescent="0.25">
      <c r="A136" s="22"/>
      <c r="B136" s="77" t="s">
        <v>42</v>
      </c>
      <c r="C136" s="76"/>
      <c r="D136" s="76"/>
      <c r="E136" s="76">
        <f>+(SUMPRODUCT(E60:E64,Q15:Q19)+SUMPRODUCT(E69:E71,Q24:Q26))*E118/1000</f>
        <v>3885.8397132954833</v>
      </c>
      <c r="F136" s="76">
        <f>+(SUMPRODUCT(F60:F64,R15:R19)+SUMPRODUCT(F69:F71,R24:R26))*F118/1000</f>
        <v>118490.7209107685</v>
      </c>
      <c r="G136" s="76">
        <f>+(SUMPRODUCT(G60:G64,S15:S19)+SUMPRODUCT(G69:G71,S24:S26))*G118/1000</f>
        <v>72725.740433483094</v>
      </c>
      <c r="H136" s="76">
        <f>+(SUMPRODUCT(H60:H64,T15:T19)+SUMPRODUCT(H69:H71,T24:T26))*H118/1000</f>
        <v>1746.155806830945</v>
      </c>
      <c r="I136" s="76">
        <f>+(SUMPRODUCT(I60:I64,U15:U19)+SUMPRODUCT(I69:I71,U24:U26))*I118/1000</f>
        <v>2426.3076373893878</v>
      </c>
      <c r="J136" s="76">
        <f>SUM(E136:I136)</f>
        <v>199274.76450176744</v>
      </c>
      <c r="K136" s="76"/>
      <c r="L136" s="76"/>
      <c r="M136" s="521"/>
      <c r="N136" s="47"/>
      <c r="O136" s="47"/>
      <c r="P136" s="47"/>
      <c r="Q136" s="47"/>
      <c r="R136" s="47"/>
      <c r="S136" s="47"/>
      <c r="T136" s="47"/>
      <c r="U136" s="47"/>
    </row>
    <row r="137" spans="1:21" x14ac:dyDescent="0.25">
      <c r="A137" s="22"/>
      <c r="C137" s="143"/>
      <c r="D137" s="143"/>
      <c r="E137" s="143"/>
      <c r="F137" s="143"/>
      <c r="G137" s="143"/>
      <c r="H137" s="143"/>
      <c r="I137" s="143"/>
      <c r="J137" s="76"/>
      <c r="K137" s="143"/>
      <c r="L137" s="143"/>
      <c r="M137" s="516"/>
      <c r="N137" s="47"/>
      <c r="O137" s="47"/>
      <c r="P137" s="47"/>
      <c r="Q137" s="47"/>
      <c r="R137" s="47"/>
      <c r="S137" s="522"/>
      <c r="T137" s="47"/>
      <c r="U137" s="47"/>
    </row>
    <row r="138" spans="1:21" x14ac:dyDescent="0.25">
      <c r="A138" s="22"/>
      <c r="B138" s="13" t="s">
        <v>16</v>
      </c>
      <c r="C138" s="82"/>
      <c r="D138" s="82"/>
      <c r="E138" s="82">
        <f>+E130+E134</f>
        <v>13575.381560925911</v>
      </c>
      <c r="F138" s="82">
        <f>+F130+F134</f>
        <v>508125.04660579388</v>
      </c>
      <c r="G138" s="82">
        <f>+G130+G134</f>
        <v>350699.33611210756</v>
      </c>
      <c r="H138" s="82">
        <f>+H130+H134</f>
        <v>6939.7804105145387</v>
      </c>
      <c r="I138" s="82">
        <f>+I130+I134</f>
        <v>5862.5509917999725</v>
      </c>
      <c r="J138" s="76">
        <f>SUM(E138:I138)</f>
        <v>885202.09568114183</v>
      </c>
      <c r="K138" s="82"/>
      <c r="L138" s="82"/>
      <c r="M138" s="44"/>
      <c r="N138" s="515"/>
      <c r="O138" s="47"/>
      <c r="P138" s="132"/>
      <c r="Q138" s="47"/>
      <c r="R138" s="47"/>
      <c r="S138" s="47"/>
      <c r="T138" s="47"/>
      <c r="U138" s="47"/>
    </row>
    <row r="139" spans="1:21" x14ac:dyDescent="0.25">
      <c r="A139" s="22"/>
      <c r="M139" s="47"/>
      <c r="N139" s="47"/>
      <c r="O139" s="47"/>
      <c r="P139" s="426"/>
      <c r="Q139" s="47"/>
      <c r="R139" s="114"/>
      <c r="S139" s="517"/>
      <c r="T139" s="47"/>
      <c r="U139" s="47"/>
    </row>
    <row r="140" spans="1:21" x14ac:dyDescent="0.25">
      <c r="A140" s="22"/>
      <c r="B140" s="13" t="s">
        <v>44</v>
      </c>
      <c r="C140" s="76">
        <f>SUM(C138:I138)</f>
        <v>885202.09568114183</v>
      </c>
      <c r="E140" s="83"/>
      <c r="F140" s="74"/>
      <c r="M140" s="47"/>
      <c r="N140" s="47"/>
      <c r="O140" s="47"/>
      <c r="P140" s="47"/>
      <c r="Q140" s="47"/>
      <c r="R140" s="47"/>
      <c r="S140" s="47"/>
      <c r="T140" s="47"/>
      <c r="U140" s="47"/>
    </row>
    <row r="141" spans="1:21" x14ac:dyDescent="0.25">
      <c r="A141" s="22"/>
      <c r="M141" s="47"/>
      <c r="N141" s="47"/>
      <c r="O141" s="47"/>
      <c r="P141" s="47"/>
      <c r="Q141" s="47"/>
      <c r="R141" s="47"/>
      <c r="S141" s="47"/>
      <c r="T141" s="47"/>
      <c r="U141" s="47"/>
    </row>
    <row r="142" spans="1:21" x14ac:dyDescent="0.25">
      <c r="A142" s="22"/>
      <c r="M142" s="47"/>
      <c r="N142" s="47"/>
      <c r="O142" s="47"/>
      <c r="P142" s="47"/>
      <c r="Q142" s="47"/>
      <c r="R142" s="47"/>
      <c r="S142" s="47"/>
      <c r="T142" s="47"/>
      <c r="U142" s="47"/>
    </row>
    <row r="143" spans="1:21" ht="15.6" x14ac:dyDescent="0.3">
      <c r="A143" s="22"/>
      <c r="B143" s="534" t="str">
        <f>$B$1</f>
        <v xml:space="preserve">Jersey Central Power &amp; Light </v>
      </c>
      <c r="C143" s="534"/>
      <c r="D143" s="534"/>
      <c r="E143" s="534"/>
      <c r="F143" s="534"/>
      <c r="G143" s="534"/>
      <c r="H143" s="534"/>
      <c r="I143" s="534"/>
      <c r="J143" s="534"/>
      <c r="K143" s="534"/>
      <c r="L143" s="534"/>
    </row>
    <row r="144" spans="1:21" ht="15.6" x14ac:dyDescent="0.3">
      <c r="A144" s="22"/>
      <c r="B144" s="534" t="str">
        <f>$B$2</f>
        <v>Attachment 2</v>
      </c>
      <c r="C144" s="534"/>
      <c r="D144" s="534"/>
      <c r="E144" s="534"/>
      <c r="F144" s="534"/>
      <c r="G144" s="534"/>
      <c r="H144" s="534"/>
      <c r="I144" s="534"/>
      <c r="J144" s="534"/>
      <c r="K144" s="534"/>
      <c r="L144" s="534"/>
    </row>
    <row r="145" spans="1:51" x14ac:dyDescent="0.25">
      <c r="A145" s="22"/>
    </row>
    <row r="146" spans="1:51" x14ac:dyDescent="0.25">
      <c r="A146" s="22"/>
    </row>
    <row r="147" spans="1:51" x14ac:dyDescent="0.25">
      <c r="A147" s="18" t="s">
        <v>70</v>
      </c>
      <c r="B147" s="16" t="s">
        <v>71</v>
      </c>
      <c r="C147" s="78"/>
      <c r="Q147" s="13" t="s">
        <v>126</v>
      </c>
      <c r="T147" s="13" t="s">
        <v>122</v>
      </c>
      <c r="W147" s="13" t="s">
        <v>123</v>
      </c>
    </row>
    <row r="148" spans="1:51" x14ac:dyDescent="0.25">
      <c r="A148" s="22"/>
      <c r="B148" s="17" t="s">
        <v>173</v>
      </c>
      <c r="C148" s="78"/>
      <c r="W148" s="13" t="s">
        <v>127</v>
      </c>
    </row>
    <row r="149" spans="1:51" x14ac:dyDescent="0.25">
      <c r="A149" s="22"/>
      <c r="B149" s="17" t="s">
        <v>21</v>
      </c>
      <c r="C149" s="78"/>
    </row>
    <row r="150" spans="1:51" x14ac:dyDescent="0.25">
      <c r="A150" s="22"/>
      <c r="B150" s="16"/>
      <c r="C150" s="26"/>
      <c r="D150" s="26"/>
      <c r="E150" s="26" t="str">
        <f>+E$13</f>
        <v>RT{1}</v>
      </c>
      <c r="F150" s="26" t="str">
        <f>+F$13</f>
        <v>RS{2}</v>
      </c>
      <c r="G150" s="26" t="str">
        <f>+G$13</f>
        <v>GS{3}</v>
      </c>
      <c r="H150" s="26" t="str">
        <f>+H$58</f>
        <v>GST {4}</v>
      </c>
      <c r="I150" s="26" t="str">
        <f>+I$13</f>
        <v>OL/SL</v>
      </c>
      <c r="J150" s="26"/>
      <c r="K150" s="26"/>
      <c r="L150" s="26"/>
      <c r="M150" s="26"/>
      <c r="Q150" s="26" t="str">
        <f>+$H150</f>
        <v>GST {4}</v>
      </c>
      <c r="R150" s="26"/>
      <c r="S150" s="26"/>
      <c r="T150" s="26" t="str">
        <f>+$H150</f>
        <v>GST {4}</v>
      </c>
      <c r="U150" s="26"/>
      <c r="V150" s="26"/>
      <c r="W150" s="26" t="str">
        <f>+$H150</f>
        <v>GST {4}</v>
      </c>
      <c r="X150" s="26"/>
      <c r="Z150" s="26"/>
      <c r="AA150" s="26"/>
      <c r="AC150" s="26"/>
      <c r="AD150" s="26"/>
      <c r="AU150" s="26" t="str">
        <f>+E$13</f>
        <v>RT{1}</v>
      </c>
      <c r="AV150" s="26" t="str">
        <f>+F$13</f>
        <v>RS{2}</v>
      </c>
      <c r="AW150" s="26" t="str">
        <f>+G$13</f>
        <v>GS{3}</v>
      </c>
      <c r="AX150" s="26" t="str">
        <f>+H$13</f>
        <v>GST</v>
      </c>
      <c r="AY150" s="26" t="str">
        <f>+I$13</f>
        <v>OL/SL</v>
      </c>
    </row>
    <row r="151" spans="1:51" x14ac:dyDescent="0.25">
      <c r="A151" s="22"/>
      <c r="C151" s="81"/>
    </row>
    <row r="152" spans="1:51" x14ac:dyDescent="0.25">
      <c r="A152" s="22"/>
      <c r="B152" s="28" t="s">
        <v>17</v>
      </c>
      <c r="C152" s="80"/>
      <c r="D152" s="80"/>
      <c r="E152" s="75">
        <f>+E130/SUM(E65:E68)*1000</f>
        <v>59.786859743731554</v>
      </c>
      <c r="F152" s="75">
        <f>+F130/SUM(F65:F68)*1000</f>
        <v>59.899709334141988</v>
      </c>
      <c r="G152" s="75">
        <f>+G130/SUM(G65:G68)*1000</f>
        <v>61.561229211884793</v>
      </c>
      <c r="H152" s="75">
        <f>+H130/SUM(H65:H68)*1000</f>
        <v>62.229736906395416</v>
      </c>
      <c r="I152" s="75">
        <f>+I130/SUM(I65:I68)*1000</f>
        <v>51.597640979796701</v>
      </c>
      <c r="J152" s="80"/>
      <c r="K152" s="80"/>
      <c r="L152" s="80"/>
      <c r="M152" s="80"/>
      <c r="P152" s="134" t="s">
        <v>25</v>
      </c>
      <c r="AU152" s="55">
        <f>SUM(E67:E68)</f>
        <v>39662</v>
      </c>
      <c r="AV152" s="55">
        <f>SUM(F67:F68)</f>
        <v>1980696</v>
      </c>
      <c r="AW152" s="55">
        <f>SUM(G67:G68)</f>
        <v>1121207</v>
      </c>
      <c r="AX152" s="55">
        <f>SUM(H67:H68)</f>
        <v>14129</v>
      </c>
      <c r="AY152" s="55">
        <f>SUM(I67:I68)</f>
        <v>19027</v>
      </c>
    </row>
    <row r="153" spans="1:51" x14ac:dyDescent="0.25">
      <c r="A153" s="22"/>
      <c r="B153" s="77" t="s">
        <v>72</v>
      </c>
      <c r="C153" s="76"/>
      <c r="D153" s="76"/>
      <c r="E153" s="75">
        <f>+(E131*1000-X165*AVERAGE(E$113,E$114))/R165</f>
        <v>77.174387960950426</v>
      </c>
      <c r="F153" s="75"/>
      <c r="G153" s="75"/>
      <c r="H153" s="75">
        <f>+(H131*1000-W153*AVERAGE(H$113,H$114))/Q153</f>
        <v>77.536446442493627</v>
      </c>
      <c r="I153" s="75"/>
      <c r="J153" s="76"/>
      <c r="K153" s="76"/>
      <c r="L153" s="80"/>
      <c r="M153" s="80"/>
      <c r="P153" s="13" t="s">
        <v>14</v>
      </c>
      <c r="Q153" s="55">
        <f>T65</f>
        <v>15200.926100000001</v>
      </c>
      <c r="R153" s="55"/>
      <c r="T153" s="55">
        <f>T76</f>
        <v>19198.993999999999</v>
      </c>
      <c r="U153" s="55"/>
      <c r="W153" s="55">
        <f>+T153-Q153</f>
        <v>3998.0678999999982</v>
      </c>
      <c r="X153" s="55"/>
      <c r="Z153" s="145"/>
      <c r="AA153" s="145"/>
      <c r="AX153" s="55">
        <f>ROUND(SUMPRODUCT(H65:H68,H38:H41),0)</f>
        <v>15201</v>
      </c>
    </row>
    <row r="154" spans="1:51" ht="15" x14ac:dyDescent="0.4">
      <c r="A154" s="22"/>
      <c r="B154" s="77" t="s">
        <v>73</v>
      </c>
      <c r="C154" s="76"/>
      <c r="D154" s="76"/>
      <c r="E154" s="75">
        <f>+(E132*1000-X166*AVERAGE(E$113,E$114))/R166</f>
        <v>47.771688916028218</v>
      </c>
      <c r="F154" s="75"/>
      <c r="G154" s="75"/>
      <c r="H154" s="75">
        <f>+(H132*1000-W154*AVERAGE(H$113,H$114))/Q154</f>
        <v>48.869118293551395</v>
      </c>
      <c r="I154" s="75"/>
      <c r="J154" s="76"/>
      <c r="K154" s="76"/>
      <c r="L154" s="80"/>
      <c r="M154" s="80"/>
      <c r="P154" s="13" t="s">
        <v>15</v>
      </c>
      <c r="Q154" s="55">
        <f>T66</f>
        <v>17415.073899999999</v>
      </c>
      <c r="R154" s="55"/>
      <c r="T154" s="55">
        <f>T77</f>
        <v>13417.006000000001</v>
      </c>
      <c r="U154" s="55"/>
      <c r="W154" s="55">
        <f>+T154-Q154</f>
        <v>-3998.0678999999982</v>
      </c>
      <c r="X154" s="55"/>
      <c r="Z154" s="85"/>
      <c r="AA154" s="85"/>
      <c r="AX154" s="55">
        <f>AX152-AX153</f>
        <v>-1072</v>
      </c>
    </row>
    <row r="155" spans="1:51" x14ac:dyDescent="0.25">
      <c r="A155" s="22"/>
      <c r="C155" s="82"/>
      <c r="D155" s="82"/>
      <c r="E155" s="79"/>
      <c r="F155" s="79"/>
      <c r="G155" s="79"/>
      <c r="H155" s="79"/>
      <c r="I155" s="79"/>
      <c r="J155" s="82"/>
      <c r="K155" s="82"/>
      <c r="L155" s="82"/>
      <c r="M155" s="82"/>
      <c r="Q155" s="55"/>
      <c r="R155" s="55"/>
      <c r="T155" s="55"/>
      <c r="U155" s="55"/>
      <c r="W155" s="55"/>
      <c r="X155" s="55"/>
      <c r="Z155" s="145"/>
      <c r="AA155" s="145"/>
      <c r="AC155" s="81"/>
      <c r="AD155" s="81"/>
    </row>
    <row r="156" spans="1:51" x14ac:dyDescent="0.25">
      <c r="A156" s="22"/>
      <c r="B156" s="28" t="s">
        <v>18</v>
      </c>
      <c r="C156" s="78"/>
      <c r="D156" s="78"/>
      <c r="E156" s="79">
        <f>+E134/SUM(E60:E64,E69:E71)*1000</f>
        <v>56.415517747005758</v>
      </c>
      <c r="F156" s="79">
        <f>+F134/SUM(F60:F64,F69:F71)*1000</f>
        <v>55.972598535164906</v>
      </c>
      <c r="G156" s="79">
        <f>+G134/SUM(G60:G64,G69:G71)*1000</f>
        <v>56.902564987312608</v>
      </c>
      <c r="H156" s="79">
        <f>+H134/SUM(H60:H64,H69:H71)*1000</f>
        <v>57.490548919591433</v>
      </c>
      <c r="I156" s="79">
        <f>+I134/SUM(I60:I64,I69:I71)*1000</f>
        <v>51.145075858690177</v>
      </c>
      <c r="J156" s="78"/>
      <c r="K156" s="78"/>
      <c r="L156" s="78"/>
      <c r="M156" s="78"/>
      <c r="P156" s="134" t="s">
        <v>26</v>
      </c>
      <c r="Q156" s="55"/>
      <c r="R156" s="55"/>
      <c r="T156" s="55"/>
      <c r="U156" s="55"/>
      <c r="W156" s="55"/>
      <c r="X156" s="55"/>
      <c r="Z156" s="145"/>
      <c r="AA156" s="145"/>
      <c r="AC156" s="81"/>
      <c r="AU156" s="55">
        <f>E72-AU152</f>
        <v>196417</v>
      </c>
      <c r="AV156" s="55">
        <f>F72-AV152</f>
        <v>6840370</v>
      </c>
      <c r="AW156" s="55">
        <f>G72-AW152</f>
        <v>4862849</v>
      </c>
      <c r="AX156" s="55">
        <f>H72-AX152</f>
        <v>103894</v>
      </c>
      <c r="AY156" s="55">
        <f>I72-AY152</f>
        <v>95262</v>
      </c>
    </row>
    <row r="157" spans="1:51" x14ac:dyDescent="0.25">
      <c r="A157" s="22"/>
      <c r="B157" s="77" t="s">
        <v>72</v>
      </c>
      <c r="C157" s="76"/>
      <c r="D157" s="76"/>
      <c r="E157" s="75">
        <f>+(E135*1000-X170*AVERAGE(E$113,E$114))/R170</f>
        <v>69.336497707344819</v>
      </c>
      <c r="F157" s="75"/>
      <c r="G157" s="75"/>
      <c r="H157" s="75">
        <f>+(H135*1000-W157*AVERAGE(H$117,H$118))/Q157</f>
        <v>68.620095119456565</v>
      </c>
      <c r="I157" s="75"/>
      <c r="J157" s="76"/>
      <c r="K157" s="76"/>
      <c r="L157" s="80"/>
      <c r="M157" s="80"/>
      <c r="P157" s="13" t="s">
        <v>14</v>
      </c>
      <c r="Q157" s="55">
        <f>T61</f>
        <v>37452.340899999996</v>
      </c>
      <c r="R157" s="55"/>
      <c r="T157" s="55">
        <f>T72</f>
        <v>48002.655500000001</v>
      </c>
      <c r="U157" s="55"/>
      <c r="W157" s="55">
        <f>+T157-Q157</f>
        <v>10550.314600000005</v>
      </c>
      <c r="X157" s="55"/>
      <c r="Z157" s="145"/>
      <c r="AA157" s="145"/>
      <c r="AC157" s="81"/>
      <c r="AX157" s="55">
        <f>ROUND(SUMPRODUCT(H33:H37,H60:H64)+SUMPRODUCT(H42:H44,H69:H71),0)</f>
        <v>37452</v>
      </c>
    </row>
    <row r="158" spans="1:51" ht="15" x14ac:dyDescent="0.4">
      <c r="A158" s="22"/>
      <c r="B158" s="77" t="s">
        <v>73</v>
      </c>
      <c r="C158" s="76"/>
      <c r="D158" s="76"/>
      <c r="E158" s="75">
        <f>+(E136*1000-X171*AVERAGE(E$113,E$114))/R171</f>
        <v>49.30064116976515</v>
      </c>
      <c r="F158" s="75"/>
      <c r="G158" s="75"/>
      <c r="H158" s="75">
        <f>+(H136*1000-W158*AVERAGE(H$117,H$118))/Q158</f>
        <v>48.798430861355712</v>
      </c>
      <c r="I158" s="75"/>
      <c r="J158" s="76"/>
      <c r="K158" s="76"/>
      <c r="L158" s="80"/>
      <c r="M158" s="80"/>
      <c r="P158" s="13" t="s">
        <v>15</v>
      </c>
      <c r="Q158" s="55">
        <f>T62</f>
        <v>47954.659100000004</v>
      </c>
      <c r="R158" s="55"/>
      <c r="T158" s="55">
        <f>T73</f>
        <v>37404.344499999999</v>
      </c>
      <c r="U158" s="55"/>
      <c r="W158" s="55">
        <f>+T158-Q158</f>
        <v>-10550.314600000005</v>
      </c>
      <c r="X158" s="55"/>
      <c r="Z158" s="85"/>
      <c r="AA158" s="85"/>
      <c r="AC158" s="81"/>
      <c r="AX158" s="55">
        <f>AX156-AX157</f>
        <v>66442</v>
      </c>
    </row>
    <row r="159" spans="1:51" x14ac:dyDescent="0.25">
      <c r="A159" s="22"/>
      <c r="C159" s="143"/>
      <c r="D159" s="143"/>
      <c r="E159" s="144"/>
      <c r="F159" s="144"/>
      <c r="G159" s="144"/>
      <c r="H159" s="144"/>
      <c r="I159" s="144"/>
      <c r="J159" s="143"/>
      <c r="K159" s="143"/>
      <c r="L159" s="143"/>
      <c r="M159" s="143"/>
      <c r="Z159" s="145"/>
      <c r="AA159" s="145"/>
      <c r="AC159" s="81"/>
      <c r="AD159" s="81"/>
    </row>
    <row r="160" spans="1:51" x14ac:dyDescent="0.25">
      <c r="A160" s="22"/>
      <c r="B160" s="13" t="s">
        <v>74</v>
      </c>
      <c r="C160" s="74"/>
      <c r="D160" s="74"/>
      <c r="E160" s="75">
        <f>(E152*SUM(E65:E68)+E156*SUM(E60:E64,E69:E71))/E72</f>
        <v>57.503554153168686</v>
      </c>
      <c r="F160" s="75">
        <f>(F152*SUM(F65:F68)+F156*SUM(F60:F64,F69:F71))/F72</f>
        <v>57.60358743555414</v>
      </c>
      <c r="G160" s="75">
        <f>(G152*SUM(G65:G68)+G156*SUM(G60:G64,G69:G71))/G72</f>
        <v>58.605624030274377</v>
      </c>
      <c r="H160" s="75">
        <f>(H152*SUM(H65:H68)+H156*SUM(H60:H64,H69:H71))/H72</f>
        <v>58.800237330982426</v>
      </c>
      <c r="I160" s="75">
        <f>(I152*SUM(I65:I68)+I156*SUM(I60:I64,I69:I71))/I72</f>
        <v>51.295846422665115</v>
      </c>
      <c r="J160" s="74"/>
      <c r="K160" s="74"/>
      <c r="L160" s="74"/>
      <c r="M160" s="74"/>
      <c r="AU160" s="55">
        <f>E72</f>
        <v>236079</v>
      </c>
      <c r="AV160" s="55">
        <f>F72</f>
        <v>8821066</v>
      </c>
      <c r="AW160" s="55">
        <f>G72</f>
        <v>5984056</v>
      </c>
      <c r="AX160" s="55">
        <f>H72</f>
        <v>118023</v>
      </c>
      <c r="AY160" s="55">
        <f>I72</f>
        <v>114289</v>
      </c>
    </row>
    <row r="161" spans="1:51" x14ac:dyDescent="0.25">
      <c r="A161" s="22"/>
      <c r="B161" s="13" t="s">
        <v>75</v>
      </c>
      <c r="C161" s="80">
        <f>+C140/SUM(C72:I72)*1000</f>
        <v>57.956679362576367</v>
      </c>
    </row>
    <row r="162" spans="1:51" x14ac:dyDescent="0.25">
      <c r="A162" s="22"/>
      <c r="Q162" s="26" t="str">
        <f>+$E150</f>
        <v>RT{1}</v>
      </c>
      <c r="R162" s="26"/>
      <c r="S162" s="26"/>
      <c r="T162" s="26" t="str">
        <f>+$E150</f>
        <v>RT{1}</v>
      </c>
      <c r="U162" s="26"/>
      <c r="V162" s="26"/>
      <c r="W162" s="26" t="str">
        <f>+$E150</f>
        <v>RT{1}</v>
      </c>
      <c r="X162" s="26"/>
      <c r="Z162" s="26"/>
      <c r="AA162" s="26"/>
      <c r="AC162" s="26"/>
    </row>
    <row r="163" spans="1:51" x14ac:dyDescent="0.25">
      <c r="A163" s="22"/>
    </row>
    <row r="164" spans="1:51" x14ac:dyDescent="0.25">
      <c r="A164" s="18" t="s">
        <v>76</v>
      </c>
      <c r="B164" s="16" t="s">
        <v>139</v>
      </c>
      <c r="P164" s="134" t="s">
        <v>25</v>
      </c>
      <c r="Q164" s="38" t="s">
        <v>196</v>
      </c>
      <c r="R164" s="38" t="s">
        <v>192</v>
      </c>
      <c r="T164" s="38" t="s">
        <v>196</v>
      </c>
      <c r="U164" s="38" t="s">
        <v>192</v>
      </c>
      <c r="W164" s="38" t="s">
        <v>196</v>
      </c>
      <c r="X164" s="38" t="s">
        <v>192</v>
      </c>
      <c r="Z164" s="38"/>
      <c r="AC164" s="38"/>
    </row>
    <row r="165" spans="1:51" x14ac:dyDescent="0.25">
      <c r="A165" s="22"/>
      <c r="B165" s="17" t="str">
        <f>'BGS PTY16 Cost Alloc'!$B$165</f>
        <v>obligations - annual average forecasted for 2017; costs are market estimates</v>
      </c>
      <c r="J165" s="26" t="s">
        <v>413</v>
      </c>
      <c r="P165" s="13" t="s">
        <v>14</v>
      </c>
      <c r="Q165" s="55">
        <f>SUMPRODUCT(E38:E41,M65:M68)</f>
        <v>30286.798000000003</v>
      </c>
      <c r="R165" s="55">
        <f>SUMPRODUCT(E38:E41,E65:E68)</f>
        <v>31135.267</v>
      </c>
      <c r="T165" s="55">
        <f>Q76</f>
        <v>39621.756200000003</v>
      </c>
      <c r="U165" s="55">
        <f>T165-($Q$167*$Q165/($Q$165+$Q$166))</f>
        <v>38771.542525688725</v>
      </c>
      <c r="W165" s="55">
        <f>+T165-Q165</f>
        <v>9334.9582000000009</v>
      </c>
      <c r="X165" s="55">
        <f>-Q165+U165</f>
        <v>8484.7445256887222</v>
      </c>
      <c r="Z165" s="145"/>
      <c r="AA165" s="145"/>
      <c r="AU165" s="82">
        <f>AU152*E152/1000</f>
        <v>2371.266431155881</v>
      </c>
      <c r="AV165" s="82">
        <f>AV152*F152/1000</f>
        <v>118643.11467929769</v>
      </c>
      <c r="AW165" s="82">
        <f>AW152*G152/1000</f>
        <v>69022.881120969716</v>
      </c>
      <c r="AX165" s="82">
        <f>AX152*H152/1000</f>
        <v>879.24395275046083</v>
      </c>
      <c r="AY165" s="82">
        <f>AY152*I152/1000</f>
        <v>981.74831492259182</v>
      </c>
    </row>
    <row r="166" spans="1:51" ht="15" x14ac:dyDescent="0.4">
      <c r="A166" s="22"/>
      <c r="B166" s="17" t="s">
        <v>77</v>
      </c>
      <c r="C166" s="26"/>
      <c r="D166" s="26"/>
      <c r="E166" s="26" t="str">
        <f>+E$13</f>
        <v>RT{1}</v>
      </c>
      <c r="F166" s="26" t="str">
        <f>+F$13</f>
        <v>RS{2}</v>
      </c>
      <c r="G166" s="26" t="str">
        <f>+G$13</f>
        <v>GS{3}</v>
      </c>
      <c r="H166" s="26" t="str">
        <f>+H$58</f>
        <v>GST {4}</v>
      </c>
      <c r="I166" s="26" t="str">
        <f>+I$13</f>
        <v>OL/SL</v>
      </c>
      <c r="J166" s="26" t="s">
        <v>165</v>
      </c>
      <c r="K166" s="26"/>
      <c r="L166" s="26"/>
      <c r="M166" s="26"/>
      <c r="P166" s="13" t="s">
        <v>15</v>
      </c>
      <c r="Q166" s="55">
        <f>SUMPRODUCT(Q38:Q41,M65:M68)</f>
        <v>43823.202000000005</v>
      </c>
      <c r="R166" s="55">
        <f>SUMPRODUCT(Q38:Q41,E65:E68)</f>
        <v>45054.733</v>
      </c>
      <c r="T166" s="55">
        <f>Q77</f>
        <v>36568.243799999997</v>
      </c>
      <c r="U166" s="55">
        <f>T166-($Q$167*$Q166/($Q$165+$Q$166))</f>
        <v>35338.03499441727</v>
      </c>
      <c r="W166" s="55">
        <f>+T166-Q166</f>
        <v>-7254.9582000000082</v>
      </c>
      <c r="X166" s="55">
        <f>-Q166+U166</f>
        <v>-8485.1670055827344</v>
      </c>
      <c r="Z166" s="145"/>
      <c r="AA166" s="85"/>
      <c r="AU166" s="82"/>
      <c r="AV166" s="82"/>
      <c r="AW166" s="82"/>
      <c r="AX166" s="82">
        <f>AX153*H153/1000</f>
        <v>1178.6315223723457</v>
      </c>
      <c r="AY166" s="82"/>
    </row>
    <row r="167" spans="1:51" ht="15" x14ac:dyDescent="0.4">
      <c r="A167" s="22"/>
      <c r="P167" s="13" t="s">
        <v>191</v>
      </c>
      <c r="Q167" s="55">
        <f>SUM(W65:W68)/1000</f>
        <v>2080.4224798939999</v>
      </c>
      <c r="R167" s="55"/>
      <c r="T167" s="55">
        <v>0</v>
      </c>
      <c r="U167" s="55">
        <v>0</v>
      </c>
      <c r="W167" s="55">
        <f>+T167-Q167</f>
        <v>-2080.4224798939999</v>
      </c>
      <c r="X167" s="55"/>
      <c r="Z167" s="85"/>
      <c r="AU167" s="82"/>
      <c r="AV167" s="82"/>
      <c r="AW167" s="82"/>
      <c r="AX167" s="82">
        <f>AX154*H154/1000</f>
        <v>-52.387694810687101</v>
      </c>
      <c r="AY167" s="82"/>
    </row>
    <row r="168" spans="1:51" x14ac:dyDescent="0.25">
      <c r="A168" s="22"/>
      <c r="B168" s="13" t="s">
        <v>78</v>
      </c>
      <c r="C168" s="87"/>
      <c r="D168" s="87"/>
      <c r="E168" s="87">
        <f>'BGS PTY16 Cost Alloc'!E168</f>
        <v>88.77</v>
      </c>
      <c r="F168" s="87">
        <f>'BGS PTY16 Cost Alloc'!F168</f>
        <v>2935.1</v>
      </c>
      <c r="G168" s="87">
        <f>'BGS PTY16 Cost Alloc'!G168</f>
        <v>1636.86</v>
      </c>
      <c r="H168" s="87">
        <f>'BGS PTY16 Cost Alloc'!H168</f>
        <v>40.08</v>
      </c>
      <c r="I168" s="87">
        <f>'BGS PTY16 Cost Alloc'!I168</f>
        <v>0.23</v>
      </c>
      <c r="J168" s="87">
        <f>SUM(E168:I168)</f>
        <v>4701.0399999999991</v>
      </c>
      <c r="K168" s="87"/>
      <c r="L168" s="87"/>
      <c r="M168" s="87"/>
      <c r="Z168" s="145"/>
      <c r="AA168" s="145"/>
      <c r="AC168" s="81"/>
      <c r="AU168" s="82">
        <f>AU156*E156/1000</f>
        <v>11080.966749313629</v>
      </c>
      <c r="AV168" s="82">
        <f>AV156*F156/1000</f>
        <v>382873.28384198592</v>
      </c>
      <c r="AW168" s="82">
        <f>AW156*G156/1000</f>
        <v>276708.58124598814</v>
      </c>
      <c r="AX168" s="82">
        <f>AX156*H156/1000</f>
        <v>5972.9230894520324</v>
      </c>
      <c r="AY168" s="82">
        <f>AY156*I156/1000</f>
        <v>4872.1822164505438</v>
      </c>
    </row>
    <row r="169" spans="1:51" x14ac:dyDescent="0.25">
      <c r="A169" s="22"/>
      <c r="P169" s="134" t="s">
        <v>26</v>
      </c>
      <c r="Q169" s="55"/>
      <c r="R169" s="55"/>
      <c r="T169" s="55"/>
      <c r="U169" s="55"/>
      <c r="W169" s="55"/>
      <c r="X169" s="55"/>
      <c r="AU169" s="82"/>
      <c r="AV169" s="82"/>
      <c r="AW169" s="82"/>
      <c r="AX169" s="82">
        <f>AX157*H157/1000</f>
        <v>2569.9598024138872</v>
      </c>
      <c r="AY169" s="82"/>
    </row>
    <row r="170" spans="1:51" x14ac:dyDescent="0.25">
      <c r="A170" s="22"/>
      <c r="B170" s="13" t="s">
        <v>79</v>
      </c>
      <c r="C170" s="88" t="s">
        <v>80</v>
      </c>
      <c r="D170" s="86"/>
      <c r="E170" s="67"/>
      <c r="F170" s="67"/>
      <c r="G170" s="67"/>
      <c r="H170" s="67"/>
      <c r="I170" s="67"/>
      <c r="J170" s="86"/>
      <c r="K170" s="86"/>
      <c r="L170" s="86"/>
      <c r="M170" s="86"/>
      <c r="P170" s="13" t="s">
        <v>14</v>
      </c>
      <c r="Q170" s="55">
        <f>SUMPRODUCT(E33:E37,M60:M64)+SUMPRODUCT(E42:E44,M69:M71)</f>
        <v>55263.197499999995</v>
      </c>
      <c r="R170" s="55">
        <f>SUMPRODUCT(E33:E37,E60:E64)+SUMPRODUCT(E42:E44,E69:E71)</f>
        <v>56773.514299999995</v>
      </c>
      <c r="T170" s="55">
        <f>Q72</f>
        <v>76997.063999999998</v>
      </c>
      <c r="U170" s="55">
        <f>T170-($Q$172*$Q170/($Q$170+$Q$171))</f>
        <v>75490.69922337652</v>
      </c>
      <c r="W170" s="55">
        <f>+T170-Q170</f>
        <v>21733.866500000004</v>
      </c>
      <c r="X170" s="55">
        <f>-Q170+U170</f>
        <v>20227.501723376525</v>
      </c>
      <c r="Z170" s="145"/>
      <c r="AA170" s="145"/>
      <c r="AC170" s="81"/>
      <c r="AU170" s="82"/>
      <c r="AV170" s="82"/>
      <c r="AW170" s="82"/>
      <c r="AX170" s="82">
        <f>AX158*H158/1000</f>
        <v>3242.2653432901961</v>
      </c>
      <c r="AY170" s="82"/>
    </row>
    <row r="171" spans="1:51" ht="15" x14ac:dyDescent="0.4">
      <c r="A171" s="22"/>
      <c r="C171" s="86"/>
      <c r="D171" s="86"/>
      <c r="E171" s="86"/>
      <c r="F171" s="86"/>
      <c r="G171" s="86"/>
      <c r="H171" s="86"/>
      <c r="I171" s="86"/>
      <c r="J171" s="86"/>
      <c r="K171" s="86"/>
      <c r="L171" s="86"/>
      <c r="M171" s="86"/>
      <c r="P171" s="13" t="s">
        <v>15</v>
      </c>
      <c r="Q171" s="55">
        <f>SUMPRODUCT(Q33:Q37,M60:M64)+SUMPRODUCT(Q42:Q44,M69:M71)</f>
        <v>100381.80249999999</v>
      </c>
      <c r="R171" s="55">
        <f>SUMPRODUCT(Q33:Q37,E60:E64)+SUMPRODUCT(Q42:Q44,E69:E71)</f>
        <v>103115.48569999999</v>
      </c>
      <c r="T171" s="55">
        <f>Q73</f>
        <v>82891.936000000002</v>
      </c>
      <c r="U171" s="55">
        <f>T171-($Q$172*$Q171/($Q$170+$Q$171))</f>
        <v>80155.727848092487</v>
      </c>
      <c r="W171" s="55">
        <f>+T171-Q171</f>
        <v>-17489.866499999989</v>
      </c>
      <c r="X171" s="55">
        <f>-Q171+U171</f>
        <v>-20226.074651907504</v>
      </c>
      <c r="Z171" s="145"/>
      <c r="AA171" s="85"/>
      <c r="AC171" s="81"/>
      <c r="AU171" s="82"/>
      <c r="AV171" s="82"/>
      <c r="AW171" s="82"/>
      <c r="AX171" s="82"/>
      <c r="AY171" s="82"/>
    </row>
    <row r="172" spans="1:51" ht="15" x14ac:dyDescent="0.4">
      <c r="A172" s="22"/>
      <c r="B172" s="13" t="s">
        <v>81</v>
      </c>
      <c r="I172" s="86"/>
      <c r="J172" s="86"/>
      <c r="K172" s="86"/>
      <c r="L172" s="86"/>
      <c r="M172" s="86"/>
      <c r="P172" s="13" t="s">
        <v>191</v>
      </c>
      <c r="Q172" s="55">
        <f>SUM(W60:W64,W69:W71)/1000</f>
        <v>4242.5729285309999</v>
      </c>
      <c r="T172" s="13">
        <v>0</v>
      </c>
      <c r="U172" s="55">
        <v>0</v>
      </c>
      <c r="W172" s="55">
        <f>+T172-Q172</f>
        <v>-4242.5729285309999</v>
      </c>
      <c r="X172" s="55"/>
      <c r="Z172" s="85"/>
      <c r="AU172" s="82">
        <f>AU160*E160/1000</f>
        <v>13575.381560925911</v>
      </c>
      <c r="AV172" s="82">
        <f>AV160*F160/1000</f>
        <v>508125.04660579382</v>
      </c>
      <c r="AW172" s="82">
        <f>AW160*G160/1000</f>
        <v>350699.33611210756</v>
      </c>
      <c r="AX172" s="82">
        <f>AX160*H160/1000</f>
        <v>6939.7804105145387</v>
      </c>
      <c r="AY172" s="82">
        <f>AY160*I160/1000</f>
        <v>5862.5509917999725</v>
      </c>
    </row>
    <row r="173" spans="1:51" x14ac:dyDescent="0.25">
      <c r="A173" s="22"/>
      <c r="D173" s="89" t="s">
        <v>82</v>
      </c>
      <c r="E173" s="137">
        <v>122</v>
      </c>
      <c r="G173" s="89" t="s">
        <v>83</v>
      </c>
      <c r="H173" s="90">
        <v>4</v>
      </c>
      <c r="I173" s="86"/>
      <c r="J173" s="86"/>
      <c r="K173" s="86"/>
      <c r="L173" s="86"/>
      <c r="M173" s="86"/>
      <c r="Q173" s="26"/>
      <c r="R173" s="26"/>
      <c r="S173" s="26"/>
      <c r="T173" s="26"/>
      <c r="U173" s="26"/>
      <c r="V173" s="26"/>
      <c r="W173" s="26"/>
      <c r="X173" s="26"/>
      <c r="Z173" s="145"/>
      <c r="AA173" s="145"/>
      <c r="AC173" s="81"/>
      <c r="AU173" s="81">
        <f>AU172-AU165-AU168</f>
        <v>123.14838045640136</v>
      </c>
      <c r="AV173" s="81">
        <f>AV172-AV165-AV168</f>
        <v>6608.648084510176</v>
      </c>
      <c r="AW173" s="81">
        <f>AW172-AW165-AW168</f>
        <v>4967.8737451497</v>
      </c>
      <c r="AX173" s="81">
        <f>AX172-AX165-AX168</f>
        <v>87.613368312045168</v>
      </c>
      <c r="AY173" s="81">
        <f>AY172-AY165-AY168</f>
        <v>8.6204604268368712</v>
      </c>
    </row>
    <row r="174" spans="1:51" ht="15" x14ac:dyDescent="0.4">
      <c r="A174" s="22"/>
      <c r="D174" s="91" t="s">
        <v>84</v>
      </c>
      <c r="E174" s="90">
        <v>243</v>
      </c>
      <c r="G174" s="91" t="s">
        <v>85</v>
      </c>
      <c r="H174" s="90">
        <v>8</v>
      </c>
      <c r="I174" s="86"/>
      <c r="J174" s="86"/>
      <c r="K174" s="86"/>
      <c r="L174" s="86"/>
      <c r="M174" s="86"/>
      <c r="Q174" s="55"/>
      <c r="R174" s="55"/>
      <c r="T174" s="55"/>
      <c r="U174" s="55"/>
      <c r="W174" s="55"/>
      <c r="X174" s="55"/>
      <c r="Z174" s="85"/>
      <c r="AA174" s="85"/>
      <c r="AX174" s="81">
        <f>SUM(AX166:AX167)+SUM(AX169:AX170)</f>
        <v>6938.4689732657425</v>
      </c>
    </row>
    <row r="175" spans="1:51" x14ac:dyDescent="0.25">
      <c r="A175" s="22"/>
      <c r="G175" s="89" t="s">
        <v>86</v>
      </c>
      <c r="H175" s="13">
        <f>+H173+H174</f>
        <v>12</v>
      </c>
      <c r="I175" s="86"/>
      <c r="J175" s="86"/>
      <c r="K175" s="86"/>
      <c r="L175" s="86"/>
      <c r="M175" s="86"/>
      <c r="Q175" s="55"/>
      <c r="R175" s="55"/>
      <c r="T175" s="55"/>
      <c r="U175" s="55"/>
      <c r="W175" s="55"/>
      <c r="X175" s="55"/>
      <c r="Z175" s="145"/>
      <c r="AA175" s="145"/>
      <c r="AC175" s="81"/>
    </row>
    <row r="176" spans="1:51" x14ac:dyDescent="0.25">
      <c r="A176" s="22"/>
      <c r="B176" s="21" t="s">
        <v>158</v>
      </c>
      <c r="C176" s="92"/>
      <c r="D176" s="93"/>
      <c r="K176" s="94"/>
      <c r="Q176" s="55"/>
      <c r="R176" s="55"/>
      <c r="T176" s="55"/>
      <c r="U176" s="55"/>
      <c r="W176" s="55"/>
      <c r="X176" s="55"/>
      <c r="Z176" s="145"/>
      <c r="AA176" s="145"/>
      <c r="AC176" s="81"/>
    </row>
    <row r="177" spans="1:50" x14ac:dyDescent="0.25">
      <c r="A177" s="22"/>
      <c r="B177" s="406"/>
      <c r="C177" s="92"/>
      <c r="D177" s="458"/>
      <c r="E177" s="93"/>
      <c r="G177" s="413"/>
      <c r="H177" s="84"/>
      <c r="K177" s="94"/>
      <c r="Q177" s="55"/>
      <c r="R177" s="55"/>
      <c r="T177" s="55"/>
      <c r="U177" s="55"/>
      <c r="W177" s="55"/>
      <c r="X177" s="55"/>
      <c r="Z177" s="145"/>
      <c r="AA177" s="145"/>
      <c r="AC177" s="81"/>
    </row>
    <row r="178" spans="1:50" x14ac:dyDescent="0.25">
      <c r="A178" s="22"/>
      <c r="D178" s="38" t="s">
        <v>222</v>
      </c>
      <c r="E178" s="38" t="s">
        <v>218</v>
      </c>
      <c r="Q178" s="55"/>
      <c r="R178" s="55"/>
      <c r="T178" s="55"/>
      <c r="U178" s="55"/>
      <c r="W178" s="55"/>
      <c r="X178" s="55"/>
      <c r="Z178" s="145"/>
      <c r="AA178" s="145"/>
      <c r="AC178" s="81"/>
    </row>
    <row r="179" spans="1:50" ht="15" x14ac:dyDescent="0.4">
      <c r="A179" s="22"/>
      <c r="B179" s="21" t="s">
        <v>87</v>
      </c>
      <c r="C179" s="13" t="s">
        <v>25</v>
      </c>
      <c r="D179" s="11">
        <v>118.732445879981</v>
      </c>
      <c r="E179" s="163">
        <f>ROUND(D179*$H$309,3)</f>
        <v>150.297</v>
      </c>
      <c r="F179" s="93" t="s">
        <v>88</v>
      </c>
      <c r="G179" s="89" t="s">
        <v>162</v>
      </c>
      <c r="H179" s="81">
        <f>ROUND(E179*E173*J$168,0)</f>
        <v>86199369</v>
      </c>
      <c r="I179" s="89"/>
      <c r="J179" s="89"/>
      <c r="K179" s="143"/>
      <c r="Q179" s="55"/>
      <c r="R179" s="55"/>
      <c r="T179" s="55"/>
      <c r="U179" s="55"/>
      <c r="W179" s="55"/>
      <c r="X179" s="55"/>
      <c r="Z179" s="85"/>
      <c r="AA179" s="85"/>
      <c r="AC179" s="81"/>
    </row>
    <row r="180" spans="1:50" ht="15" x14ac:dyDescent="0.4">
      <c r="A180" s="22"/>
      <c r="B180" s="21"/>
      <c r="C180" s="13" t="s">
        <v>26</v>
      </c>
      <c r="D180" s="11">
        <v>118.732445879981</v>
      </c>
      <c r="E180" s="163">
        <f>ROUND(D180*$H$309,3)</f>
        <v>150.297</v>
      </c>
      <c r="F180" s="93" t="s">
        <v>88</v>
      </c>
      <c r="G180" s="122" t="s">
        <v>163</v>
      </c>
      <c r="H180" s="123">
        <f>ROUND(E180*E174*J$168,0)</f>
        <v>171692187</v>
      </c>
      <c r="I180" s="89"/>
      <c r="J180" s="89"/>
      <c r="K180" s="143"/>
      <c r="Z180" s="145"/>
      <c r="AA180" s="145"/>
      <c r="AC180" s="81"/>
    </row>
    <row r="181" spans="1:50" x14ac:dyDescent="0.25">
      <c r="A181" s="22"/>
      <c r="B181" s="493"/>
      <c r="C181" s="493"/>
      <c r="D181" s="493"/>
      <c r="E181" s="493"/>
      <c r="F181" s="493"/>
      <c r="G181" s="89" t="s">
        <v>164</v>
      </c>
      <c r="H181" s="81">
        <f>SUM(H179:H180)</f>
        <v>257891556</v>
      </c>
      <c r="I181" s="89"/>
      <c r="J181" s="89"/>
      <c r="K181" s="143"/>
    </row>
    <row r="182" spans="1:50" x14ac:dyDescent="0.25">
      <c r="A182" s="22"/>
      <c r="B182" s="493"/>
      <c r="C182" s="493"/>
      <c r="D182" s="493"/>
      <c r="E182" s="493"/>
      <c r="F182" s="493"/>
      <c r="G182" s="89"/>
      <c r="H182" s="81"/>
      <c r="I182" s="89"/>
      <c r="J182" s="89"/>
      <c r="K182" s="143"/>
    </row>
    <row r="183" spans="1:50" x14ac:dyDescent="0.25">
      <c r="A183" s="22"/>
      <c r="B183" s="493"/>
      <c r="C183" s="493"/>
      <c r="D183" s="493"/>
      <c r="E183" s="493"/>
      <c r="F183" s="493"/>
      <c r="G183" s="89"/>
      <c r="H183" s="81"/>
      <c r="I183" s="89"/>
      <c r="J183" s="89"/>
      <c r="K183" s="143"/>
    </row>
    <row r="184" spans="1:50" x14ac:dyDescent="0.25">
      <c r="A184" s="22"/>
      <c r="B184" s="21"/>
      <c r="D184" s="11"/>
      <c r="E184" s="93"/>
      <c r="G184" s="89"/>
      <c r="H184" s="81"/>
      <c r="I184" s="89"/>
      <c r="J184" s="89"/>
      <c r="K184" s="143"/>
    </row>
    <row r="185" spans="1:50" x14ac:dyDescent="0.25">
      <c r="A185" s="22"/>
      <c r="B185" s="13" t="s">
        <v>153</v>
      </c>
      <c r="I185" s="89"/>
      <c r="J185" s="89"/>
      <c r="K185" s="143"/>
    </row>
    <row r="186" spans="1:50" x14ac:dyDescent="0.25">
      <c r="A186" s="22"/>
      <c r="B186" s="17" t="s">
        <v>154</v>
      </c>
      <c r="I186" s="89"/>
      <c r="J186" s="89"/>
      <c r="K186" s="143"/>
    </row>
    <row r="187" spans="1:50" x14ac:dyDescent="0.25">
      <c r="A187" s="22"/>
      <c r="B187" s="17"/>
      <c r="C187" s="105" t="str">
        <f>" ---------- Rate "&amp;C30&amp;" ----------"</f>
        <v xml:space="preserve"> ---------- Rate  ----------</v>
      </c>
      <c r="D187" s="106"/>
      <c r="E187" s="106"/>
      <c r="I187" s="89"/>
      <c r="J187" s="89"/>
      <c r="K187" s="143"/>
    </row>
    <row r="188" spans="1:50" x14ac:dyDescent="0.25">
      <c r="A188" s="22"/>
      <c r="C188" s="38" t="s">
        <v>140</v>
      </c>
      <c r="E188" s="38" t="s">
        <v>141</v>
      </c>
      <c r="I188" s="89"/>
      <c r="J188" s="89"/>
      <c r="K188" s="143"/>
    </row>
    <row r="189" spans="1:50" x14ac:dyDescent="0.25">
      <c r="A189" s="22"/>
      <c r="B189" s="89" t="s">
        <v>142</v>
      </c>
      <c r="C189" s="107"/>
      <c r="E189" s="118">
        <f>SUM(R65/(R65+R66))</f>
        <v>0.52890352914327898</v>
      </c>
      <c r="F189" s="112"/>
      <c r="I189" s="89"/>
      <c r="J189" s="89"/>
      <c r="K189" s="143"/>
      <c r="AX189" s="118">
        <f>(37892894+37550803+37185127+37530967+385012043+415293692+408537249+370243592)/(37892894+37550803+37185127+37530967+385012043+415293692+408537249+370243592+28757462+38416028+35549073+25251802+243248593+403536675+352244990+172217638)</f>
        <v>0.5709969556930804</v>
      </c>
    </row>
    <row r="190" spans="1:50" x14ac:dyDescent="0.25">
      <c r="A190" s="22"/>
      <c r="B190" s="89" t="s">
        <v>144</v>
      </c>
      <c r="C190" s="108"/>
      <c r="E190" s="109">
        <f>1-E189</f>
        <v>0.47109647085672102</v>
      </c>
      <c r="G190" s="53"/>
      <c r="I190" s="89"/>
      <c r="J190" s="89"/>
      <c r="K190" s="143"/>
    </row>
    <row r="191" spans="1:50" x14ac:dyDescent="0.25">
      <c r="A191" s="22"/>
      <c r="B191" s="110" t="s">
        <v>155</v>
      </c>
      <c r="C191" s="111">
        <v>0.86519999999999997</v>
      </c>
      <c r="D191" s="13" t="s">
        <v>143</v>
      </c>
      <c r="J191" s="89"/>
      <c r="K191" s="143"/>
    </row>
    <row r="192" spans="1:50" x14ac:dyDescent="0.25">
      <c r="A192" s="13"/>
      <c r="J192" s="89"/>
      <c r="K192" s="143"/>
    </row>
    <row r="193" spans="1:13" x14ac:dyDescent="0.25">
      <c r="A193" s="18" t="s">
        <v>89</v>
      </c>
      <c r="B193" s="16" t="s">
        <v>90</v>
      </c>
      <c r="D193" s="38" t="s">
        <v>222</v>
      </c>
      <c r="E193" s="38" t="s">
        <v>218</v>
      </c>
    </row>
    <row r="194" spans="1:13" x14ac:dyDescent="0.25">
      <c r="A194" s="22"/>
      <c r="B194" s="17" t="s">
        <v>91</v>
      </c>
      <c r="D194" s="11">
        <v>3</v>
      </c>
      <c r="E194" s="163">
        <f>ROUND(D194*$H$309,3)</f>
        <v>3.798</v>
      </c>
      <c r="F194" s="13" t="s">
        <v>92</v>
      </c>
    </row>
    <row r="195" spans="1:13" x14ac:dyDescent="0.25">
      <c r="A195" s="22"/>
      <c r="B195" s="17"/>
      <c r="F195" s="93"/>
    </row>
    <row r="196" spans="1:13" x14ac:dyDescent="0.25">
      <c r="A196" s="22"/>
      <c r="B196" s="16"/>
      <c r="E196" s="92"/>
      <c r="F196" s="93"/>
    </row>
    <row r="197" spans="1:13" x14ac:dyDescent="0.25">
      <c r="A197" s="18" t="s">
        <v>93</v>
      </c>
      <c r="B197" s="16" t="s">
        <v>167</v>
      </c>
    </row>
    <row r="198" spans="1:13" x14ac:dyDescent="0.25">
      <c r="A198" s="18"/>
      <c r="B198" s="16"/>
    </row>
    <row r="199" spans="1:13" x14ac:dyDescent="0.25">
      <c r="A199" s="18"/>
      <c r="B199" s="16"/>
      <c r="C199" s="26"/>
      <c r="D199" s="26"/>
      <c r="E199" s="26" t="str">
        <f>+E$13</f>
        <v>RT{1}</v>
      </c>
      <c r="F199" s="26" t="str">
        <f>+F$13</f>
        <v>RS{2}</v>
      </c>
      <c r="G199" s="26" t="str">
        <f>+G$13</f>
        <v>GS{3}</v>
      </c>
      <c r="H199" s="156" t="str">
        <f>+H$58</f>
        <v>GST {4}</v>
      </c>
      <c r="I199" s="26" t="str">
        <f>+I$13</f>
        <v>OL/SL</v>
      </c>
      <c r="J199" s="26"/>
    </row>
    <row r="200" spans="1:13" x14ac:dyDescent="0.25">
      <c r="A200" s="18"/>
      <c r="B200" s="16"/>
    </row>
    <row r="201" spans="1:13" x14ac:dyDescent="0.25">
      <c r="A201" s="22"/>
      <c r="B201" s="89" t="s">
        <v>94</v>
      </c>
      <c r="C201" s="146"/>
      <c r="D201" s="146"/>
      <c r="E201" s="147">
        <f>'BGS PTY16 Cost Alloc'!E203</f>
        <v>3.8420000000000001</v>
      </c>
      <c r="F201" s="147">
        <f>'BGS PTY16 Cost Alloc'!F203</f>
        <v>4.6269999999999998</v>
      </c>
      <c r="G201" s="147">
        <f>'BGS PTY16 Cost Alloc'!G203</f>
        <v>4.6150000000000002</v>
      </c>
      <c r="H201" s="147">
        <f>'BGS PTY16 Cost Alloc'!H203</f>
        <v>3.69</v>
      </c>
      <c r="I201" s="147">
        <f>'BGS PTY16 Cost Alloc'!I203</f>
        <v>3.508</v>
      </c>
      <c r="J201" s="146"/>
      <c r="K201" s="146"/>
      <c r="L201" s="146"/>
      <c r="M201" s="146"/>
    </row>
    <row r="202" spans="1:13" x14ac:dyDescent="0.25">
      <c r="A202" s="22"/>
      <c r="B202" s="89"/>
      <c r="C202" s="146"/>
      <c r="D202" s="146"/>
      <c r="E202" s="146"/>
      <c r="F202" s="146"/>
      <c r="G202" s="146"/>
      <c r="H202" s="146"/>
      <c r="I202" s="146"/>
      <c r="J202" s="146"/>
      <c r="K202" s="146"/>
      <c r="L202" s="146"/>
      <c r="M202" s="146"/>
    </row>
    <row r="203" spans="1:13" x14ac:dyDescent="0.25">
      <c r="A203" s="22"/>
      <c r="B203" s="89" t="s">
        <v>131</v>
      </c>
      <c r="C203" s="146"/>
      <c r="D203" s="146"/>
      <c r="E203" s="147">
        <f>$H$181*(E$168/$J$168)/E$72</f>
        <v>20.627758535470786</v>
      </c>
      <c r="F203" s="147">
        <f>$H$181*(F$168/$J$168)/F$72</f>
        <v>18.253451948427379</v>
      </c>
      <c r="G203" s="147">
        <f>$H$181*(G$168/$J$168)/G$72</f>
        <v>15.005796858237346</v>
      </c>
      <c r="H203" s="147">
        <f>$H$181*(H$168/$J$168)/H$72</f>
        <v>18.629630413932738</v>
      </c>
      <c r="I203" s="147">
        <f>$H$181*(I$168/$J$168)/I$72</f>
        <v>0.11039936597747124</v>
      </c>
      <c r="J203" s="146"/>
      <c r="K203" s="146"/>
      <c r="L203" s="146"/>
      <c r="M203" s="146"/>
    </row>
    <row r="204" spans="1:13" x14ac:dyDescent="0.25">
      <c r="A204" s="22"/>
      <c r="B204" s="89" t="s">
        <v>198</v>
      </c>
      <c r="C204" s="146"/>
      <c r="D204" s="146"/>
      <c r="E204" s="147">
        <f>$H$179*(E$168/$J$168)/SUM(E65:E68)</f>
        <v>21.3637942387805</v>
      </c>
      <c r="F204" s="147">
        <f>$H$179*(F$168/$J$168)/SUM(F65:F68)</f>
        <v>14.69041687785599</v>
      </c>
      <c r="G204" s="147">
        <f>$H$179*(G$168/$J$168)/SUM(G65:G68)</f>
        <v>13.720114380703054</v>
      </c>
      <c r="H204" s="147"/>
      <c r="I204" s="147">
        <f>$H$179*(I$168/$J$168)/SUM(I65:I68)</f>
        <v>0.11076385545243458</v>
      </c>
      <c r="J204" s="146"/>
      <c r="K204" s="146"/>
      <c r="L204" s="146"/>
      <c r="M204" s="146"/>
    </row>
    <row r="205" spans="1:13" x14ac:dyDescent="0.25">
      <c r="A205" s="22"/>
      <c r="B205" s="89" t="s">
        <v>199</v>
      </c>
      <c r="C205" s="146"/>
      <c r="D205" s="146"/>
      <c r="E205" s="147">
        <f>$H$179*(E$168/$J$168)/R165</f>
        <v>52.278577956395438</v>
      </c>
      <c r="F205" s="147"/>
      <c r="G205" s="147"/>
      <c r="H205" s="147">
        <f>$H$179*(H$168/$J$168)/Q153</f>
        <v>48.346807935536397</v>
      </c>
      <c r="I205" s="147"/>
      <c r="J205" s="146"/>
      <c r="K205" s="146"/>
      <c r="L205" s="146"/>
      <c r="M205" s="146"/>
    </row>
    <row r="206" spans="1:13" x14ac:dyDescent="0.25">
      <c r="A206" s="22"/>
      <c r="B206" s="89" t="s">
        <v>201</v>
      </c>
      <c r="C206" s="146"/>
      <c r="D206" s="146"/>
      <c r="E206" s="147">
        <f>$H$180*(E$168/$J$168)/(E72-SUM(E65:E68))</f>
        <v>20.277024212064127</v>
      </c>
      <c r="F206" s="147">
        <f>$H$180*(F$168/$J$168)/(F72-SUM(F65:F68))</f>
        <v>20.784358802882089</v>
      </c>
      <c r="G206" s="147">
        <f>$H$180*(G$168/$J$168)/(G72-SUM(G65:G68))</f>
        <v>15.746624213448985</v>
      </c>
      <c r="H206" s="147"/>
      <c r="I206" s="147">
        <f>$H$180*(I$168/$J$168)/(I72-SUM(I65:I68))</f>
        <v>0.11021727427831846</v>
      </c>
      <c r="J206" s="146"/>
      <c r="K206" s="146"/>
      <c r="L206" s="146"/>
      <c r="M206" s="146"/>
    </row>
    <row r="207" spans="1:13" x14ac:dyDescent="0.25">
      <c r="A207" s="22"/>
      <c r="B207" s="89" t="s">
        <v>200</v>
      </c>
      <c r="C207" s="146"/>
      <c r="D207" s="146"/>
      <c r="E207" s="147">
        <f>$H$180*(E$168/$J$168)/R170</f>
        <v>57.105380285446259</v>
      </c>
      <c r="F207" s="148"/>
      <c r="G207" s="148"/>
      <c r="H207" s="147">
        <f>$H$180*(H$168/$J$168)/Q157</f>
        <v>39.084569363849873</v>
      </c>
      <c r="I207" s="147"/>
      <c r="J207" s="146"/>
      <c r="K207" s="146"/>
      <c r="L207" s="146"/>
      <c r="M207" s="146"/>
    </row>
    <row r="208" spans="1:13" x14ac:dyDescent="0.25">
      <c r="A208" s="22"/>
      <c r="B208" s="89"/>
      <c r="C208" s="146"/>
      <c r="D208" s="146"/>
      <c r="E208" s="147"/>
      <c r="F208" s="147"/>
      <c r="G208" s="147"/>
      <c r="H208" s="147"/>
      <c r="I208" s="147"/>
      <c r="J208" s="146"/>
      <c r="K208" s="146"/>
      <c r="L208" s="146"/>
      <c r="M208" s="146"/>
    </row>
    <row r="209" spans="1:18" ht="15.6" x14ac:dyDescent="0.3">
      <c r="A209" s="22"/>
      <c r="B209" s="534" t="str">
        <f>$B$1</f>
        <v xml:space="preserve">Jersey Central Power &amp; Light </v>
      </c>
      <c r="C209" s="534"/>
      <c r="D209" s="534"/>
      <c r="E209" s="534"/>
      <c r="F209" s="534"/>
      <c r="G209" s="534"/>
      <c r="H209" s="534"/>
      <c r="I209" s="534"/>
      <c r="J209" s="534"/>
      <c r="K209" s="534"/>
      <c r="L209" s="534"/>
      <c r="M209" s="146"/>
    </row>
    <row r="210" spans="1:18" ht="15.6" x14ac:dyDescent="0.3">
      <c r="A210" s="22"/>
      <c r="B210" s="534" t="str">
        <f>$B$2</f>
        <v>Attachment 2</v>
      </c>
      <c r="C210" s="534"/>
      <c r="D210" s="534"/>
      <c r="E210" s="534"/>
      <c r="F210" s="534"/>
      <c r="G210" s="534"/>
      <c r="H210" s="534"/>
      <c r="I210" s="534"/>
      <c r="J210" s="534"/>
      <c r="K210" s="534"/>
      <c r="L210" s="534"/>
      <c r="M210" s="146"/>
      <c r="N210" s="146"/>
      <c r="O210" s="146"/>
      <c r="P210" s="146"/>
      <c r="Q210" s="146"/>
      <c r="R210" s="146"/>
    </row>
    <row r="211" spans="1:18" x14ac:dyDescent="0.25">
      <c r="A211" s="22"/>
      <c r="E211" s="146"/>
      <c r="F211" s="146"/>
      <c r="G211" s="146"/>
      <c r="H211" s="146"/>
      <c r="K211" s="146"/>
      <c r="L211" s="146"/>
      <c r="M211" s="146"/>
      <c r="N211" s="146"/>
      <c r="O211" s="146"/>
      <c r="P211" s="146"/>
      <c r="Q211" s="146"/>
      <c r="R211" s="146"/>
    </row>
    <row r="212" spans="1:18" x14ac:dyDescent="0.25">
      <c r="A212" s="22"/>
      <c r="M212" s="146"/>
      <c r="N212" s="146"/>
      <c r="O212" s="146"/>
      <c r="P212" s="146"/>
      <c r="Q212" s="146"/>
      <c r="R212" s="146"/>
    </row>
    <row r="213" spans="1:18" x14ac:dyDescent="0.25">
      <c r="A213" s="18" t="s">
        <v>95</v>
      </c>
      <c r="B213" s="16" t="s">
        <v>96</v>
      </c>
      <c r="M213" s="146"/>
      <c r="N213" s="146"/>
      <c r="O213" s="146"/>
      <c r="P213" s="146"/>
      <c r="Q213" s="146"/>
      <c r="R213" s="146"/>
    </row>
    <row r="214" spans="1:18" x14ac:dyDescent="0.25">
      <c r="A214" s="22"/>
      <c r="B214" s="16"/>
      <c r="M214" s="146"/>
      <c r="N214" s="146"/>
      <c r="O214" s="146"/>
      <c r="P214" s="146"/>
      <c r="Q214" s="146"/>
      <c r="R214" s="146"/>
    </row>
    <row r="215" spans="1:18" x14ac:dyDescent="0.25">
      <c r="A215" s="22"/>
      <c r="B215" s="16" t="s">
        <v>97</v>
      </c>
      <c r="M215" s="146"/>
      <c r="N215" s="146"/>
      <c r="O215" s="146"/>
      <c r="P215" s="146"/>
      <c r="Q215" s="146"/>
      <c r="R215" s="146"/>
    </row>
    <row r="216" spans="1:18" x14ac:dyDescent="0.25">
      <c r="A216" s="22"/>
      <c r="B216" s="17" t="s">
        <v>219</v>
      </c>
      <c r="M216" s="146"/>
      <c r="N216" s="146"/>
      <c r="O216" s="146"/>
      <c r="P216" s="146"/>
      <c r="Q216" s="146"/>
      <c r="R216" s="146"/>
    </row>
    <row r="217" spans="1:18" x14ac:dyDescent="0.25">
      <c r="A217" s="22"/>
      <c r="B217" s="17" t="s">
        <v>21</v>
      </c>
      <c r="M217" s="146"/>
      <c r="N217" s="146"/>
      <c r="O217" s="146"/>
      <c r="P217" s="146"/>
      <c r="Q217" s="146"/>
      <c r="R217" s="146"/>
    </row>
    <row r="218" spans="1:18" x14ac:dyDescent="0.25">
      <c r="A218" s="22"/>
      <c r="C218" s="26"/>
      <c r="D218" s="26"/>
      <c r="E218" s="26" t="str">
        <f>+E$13</f>
        <v>RT{1}</v>
      </c>
      <c r="F218" s="26" t="str">
        <f>+F$13</f>
        <v>RS{2}</v>
      </c>
      <c r="G218" s="26" t="str">
        <f>+G$13</f>
        <v>GS{3}</v>
      </c>
      <c r="H218" s="156" t="str">
        <f>+H$58</f>
        <v>GST {4}</v>
      </c>
      <c r="I218" s="26" t="str">
        <f>+I$13</f>
        <v>OL/SL</v>
      </c>
      <c r="J218" s="26"/>
      <c r="M218" s="146"/>
      <c r="N218" s="146"/>
      <c r="O218" s="146"/>
      <c r="P218" s="146"/>
      <c r="Q218" s="146"/>
      <c r="R218" s="146"/>
    </row>
    <row r="219" spans="1:18" x14ac:dyDescent="0.25">
      <c r="A219" s="22"/>
      <c r="C219" s="26"/>
      <c r="D219" s="26"/>
      <c r="E219" s="74"/>
      <c r="F219" s="26"/>
      <c r="G219" s="26"/>
      <c r="M219" s="146"/>
      <c r="N219" s="146"/>
      <c r="O219" s="146"/>
      <c r="P219" s="146"/>
      <c r="Q219" s="146"/>
      <c r="R219" s="146"/>
    </row>
    <row r="220" spans="1:18" x14ac:dyDescent="0.25">
      <c r="A220" s="22"/>
      <c r="B220" s="28" t="s">
        <v>17</v>
      </c>
      <c r="C220" s="74"/>
      <c r="D220" s="74"/>
      <c r="E220" s="74">
        <f>+E152+(E$95*$E$194)+E$201+E204</f>
        <v>89.238815052660911</v>
      </c>
      <c r="F220" s="74">
        <f>+F152+(F$95*$E$194)+F$201+F204</f>
        <v>83.463287282146837</v>
      </c>
      <c r="G220" s="74">
        <f>+G152+(G$95*$E$194)+G$201+G204</f>
        <v>84.142504662736698</v>
      </c>
      <c r="H220" s="74"/>
      <c r="I220" s="74">
        <f>+I152+(I$95*$E$194)+I$201+I204</f>
        <v>59.462565905398002</v>
      </c>
      <c r="J220" s="74"/>
      <c r="K220" s="74"/>
      <c r="M220" s="146"/>
      <c r="N220" s="146"/>
      <c r="O220" s="146"/>
      <c r="P220" s="146"/>
      <c r="Q220" s="146"/>
      <c r="R220" s="146"/>
    </row>
    <row r="221" spans="1:18" x14ac:dyDescent="0.25">
      <c r="A221" s="22"/>
      <c r="B221" s="77" t="s">
        <v>72</v>
      </c>
      <c r="C221" s="74"/>
      <c r="D221" s="74"/>
      <c r="E221" s="74">
        <f>+E153+(E$95*$E$194)+E$201+E$205</f>
        <v>137.54112698749472</v>
      </c>
      <c r="F221" s="74"/>
      <c r="G221" s="74"/>
      <c r="H221" s="74">
        <f>+H153+(H$95*$E$194)+H$201+H$205</f>
        <v>133.81941544817889</v>
      </c>
      <c r="I221" s="74"/>
      <c r="J221" s="74"/>
      <c r="M221" s="146"/>
      <c r="N221" s="146"/>
      <c r="O221" s="146"/>
      <c r="P221" s="146"/>
      <c r="Q221" s="146"/>
      <c r="R221" s="146"/>
    </row>
    <row r="222" spans="1:18" x14ac:dyDescent="0.25">
      <c r="A222" s="22"/>
      <c r="B222" s="77" t="s">
        <v>73</v>
      </c>
      <c r="C222" s="74"/>
      <c r="D222" s="74"/>
      <c r="E222" s="74">
        <f>+E154+(E$95*$E$194)+E$201</f>
        <v>55.859849986177082</v>
      </c>
      <c r="F222" s="74"/>
      <c r="G222" s="74"/>
      <c r="H222" s="74">
        <f>+H154+(H$95*$E$194)+H$201</f>
        <v>56.805279363700251</v>
      </c>
      <c r="I222" s="74"/>
      <c r="J222" s="74"/>
      <c r="M222" s="146"/>
      <c r="N222" s="146"/>
      <c r="O222" s="146"/>
      <c r="P222" s="146"/>
      <c r="Q222" s="146"/>
      <c r="R222" s="146"/>
    </row>
    <row r="223" spans="1:18" x14ac:dyDescent="0.25">
      <c r="A223" s="22"/>
      <c r="B223" s="89" t="s">
        <v>142</v>
      </c>
      <c r="C223" s="74"/>
      <c r="D223" s="74"/>
      <c r="E223" s="74"/>
      <c r="F223" s="74">
        <f>(F220*SUM(F65:F68)-C191*10*E190*SUM(F65:F68))/SUM(F65:F68)</f>
        <v>79.387360616294472</v>
      </c>
      <c r="G223" s="74"/>
      <c r="H223" s="74"/>
      <c r="I223" s="74"/>
      <c r="J223" s="74"/>
      <c r="M223" s="146"/>
      <c r="N223" s="146"/>
      <c r="O223" s="146"/>
      <c r="P223" s="146"/>
      <c r="Q223" s="146"/>
      <c r="R223" s="146"/>
    </row>
    <row r="224" spans="1:18" x14ac:dyDescent="0.25">
      <c r="A224" s="22"/>
      <c r="B224" s="89" t="s">
        <v>144</v>
      </c>
      <c r="C224" s="74"/>
      <c r="D224" s="74"/>
      <c r="E224" s="74"/>
      <c r="F224" s="74">
        <f>+F223+C191*10</f>
        <v>88.039360616294474</v>
      </c>
      <c r="G224" s="120"/>
      <c r="H224" s="74"/>
      <c r="I224" s="74"/>
      <c r="J224" s="74"/>
      <c r="M224" s="146"/>
      <c r="N224" s="146"/>
      <c r="O224" s="146"/>
      <c r="P224" s="146"/>
      <c r="Q224" s="146"/>
      <c r="R224" s="146"/>
    </row>
    <row r="225" spans="1:18" x14ac:dyDescent="0.25">
      <c r="A225" s="22"/>
      <c r="C225" s="74"/>
      <c r="D225" s="74"/>
      <c r="E225" s="74"/>
      <c r="F225" s="74"/>
      <c r="G225" s="74"/>
      <c r="H225" s="74"/>
      <c r="I225" s="74"/>
      <c r="J225" s="74"/>
      <c r="M225" s="146"/>
      <c r="N225" s="146"/>
      <c r="O225" s="146"/>
      <c r="P225" s="146"/>
      <c r="Q225" s="146"/>
      <c r="R225" s="146"/>
    </row>
    <row r="226" spans="1:18" x14ac:dyDescent="0.25">
      <c r="A226" s="22"/>
      <c r="B226" s="28" t="s">
        <v>18</v>
      </c>
      <c r="C226" s="74"/>
      <c r="D226" s="74"/>
      <c r="E226" s="74">
        <f>+E156+(E$95*$E$194)+E$201+E206</f>
        <v>84.780703029218756</v>
      </c>
      <c r="F226" s="74">
        <f>+F156+(F$95*$E$194)+F$201+F206</f>
        <v>85.630118408195841</v>
      </c>
      <c r="G226" s="74">
        <f>+G156+(G$95*$E$194)+G$201+G206</f>
        <v>81.51035027091045</v>
      </c>
      <c r="H226" s="74"/>
      <c r="I226" s="74">
        <f>+I156+(I$95*$E$194)+I$201+I206</f>
        <v>59.009454203117357</v>
      </c>
      <c r="J226" s="74"/>
      <c r="K226" s="74"/>
      <c r="M226" s="146"/>
      <c r="N226" s="146"/>
      <c r="O226" s="146"/>
      <c r="P226" s="146"/>
      <c r="Q226" s="146"/>
      <c r="R226" s="146"/>
    </row>
    <row r="227" spans="1:18" x14ac:dyDescent="0.25">
      <c r="A227" s="22"/>
      <c r="B227" s="77" t="s">
        <v>72</v>
      </c>
      <c r="C227" s="74"/>
      <c r="D227" s="74"/>
      <c r="E227" s="74">
        <f>+E157+(E$95*$E$194)+E$201+E$207</f>
        <v>134.53003906293992</v>
      </c>
      <c r="F227" s="74"/>
      <c r="G227" s="74"/>
      <c r="H227" s="74">
        <f>+H157+(H$95*$E$194)+H$201+H$207</f>
        <v>115.6408255534553</v>
      </c>
      <c r="I227" s="74"/>
      <c r="J227" s="74"/>
      <c r="M227" s="146"/>
      <c r="N227" s="146"/>
      <c r="O227" s="146"/>
      <c r="P227" s="146"/>
      <c r="Q227" s="146"/>
      <c r="R227" s="146"/>
    </row>
    <row r="228" spans="1:18" x14ac:dyDescent="0.25">
      <c r="A228" s="22"/>
      <c r="B228" s="77" t="s">
        <v>73</v>
      </c>
      <c r="C228" s="74"/>
      <c r="D228" s="74"/>
      <c r="E228" s="74">
        <f>+E158+(E$95*$E$194)+E$201</f>
        <v>57.388802239914014</v>
      </c>
      <c r="F228" s="74"/>
      <c r="G228" s="74"/>
      <c r="H228" s="74">
        <f>+H158+(H$95*$E$194)+H$201</f>
        <v>56.734591931504568</v>
      </c>
      <c r="I228" s="74"/>
      <c r="J228" s="74"/>
      <c r="M228" s="146"/>
      <c r="N228" s="146"/>
      <c r="O228" s="146"/>
      <c r="P228" s="146"/>
      <c r="Q228" s="146"/>
      <c r="R228" s="146"/>
    </row>
    <row r="229" spans="1:18" x14ac:dyDescent="0.25">
      <c r="A229" s="22"/>
      <c r="C229" s="74"/>
      <c r="D229" s="74"/>
      <c r="E229" s="74"/>
      <c r="F229" s="74"/>
      <c r="G229" s="74"/>
      <c r="H229" s="74"/>
      <c r="I229" s="74"/>
      <c r="J229" s="74"/>
      <c r="M229" s="146"/>
      <c r="N229" s="146"/>
      <c r="O229" s="146"/>
      <c r="P229" s="146"/>
      <c r="Q229" s="146"/>
      <c r="R229" s="146"/>
    </row>
    <row r="230" spans="1:18" x14ac:dyDescent="0.25">
      <c r="A230" s="22"/>
      <c r="B230" s="13" t="s">
        <v>98</v>
      </c>
      <c r="C230" s="74"/>
      <c r="D230" s="74"/>
      <c r="E230" s="74">
        <f>+E160+(E$95*$E$194)+E$201+E203</f>
        <v>86.21947375878834</v>
      </c>
      <c r="F230" s="74">
        <f>+F160+(F$95*$E$194)+F$201+F203</f>
        <v>84.730200454130383</v>
      </c>
      <c r="G230" s="74">
        <f>+G160+(G$95*$E$194)+G$201+G203</f>
        <v>82.472581958660584</v>
      </c>
      <c r="H230" s="74">
        <f>((H221*SUMPRODUCT(H38:H41,H65:H68)+H222*SUMPRODUCT(T38:T41,H65:H68))+(H227*(SUMPRODUCT(H33:H37,H60:H64)+SUMPRODUCT(H42:H44,H69:H71))+H228*(SUMPRODUCT(T33:T37,H60:H64)+SUMPRODUCT(T42:T44,H69:H71))))/H72</f>
        <v>85.366028815064013</v>
      </c>
      <c r="I230" s="74">
        <f>+I160+(I$95*$E$194)+I$201+I203</f>
        <v>59.160406858791454</v>
      </c>
      <c r="J230" s="74"/>
      <c r="K230" s="74"/>
      <c r="M230" s="146"/>
      <c r="N230" s="146"/>
      <c r="O230" s="146"/>
      <c r="P230" s="146"/>
      <c r="Q230" s="146"/>
      <c r="R230" s="146"/>
    </row>
    <row r="231" spans="1:18" x14ac:dyDescent="0.25">
      <c r="A231" s="22"/>
      <c r="C231" s="74"/>
      <c r="D231" s="74"/>
      <c r="E231" s="74"/>
      <c r="F231" s="74"/>
      <c r="G231" s="74"/>
      <c r="H231" s="74"/>
      <c r="I231" s="74"/>
      <c r="J231" s="74"/>
      <c r="K231" s="74"/>
      <c r="M231" s="146"/>
      <c r="N231" s="146"/>
      <c r="O231" s="146"/>
      <c r="P231" s="146"/>
      <c r="Q231" s="146"/>
      <c r="R231" s="146"/>
    </row>
    <row r="232" spans="1:18" x14ac:dyDescent="0.25">
      <c r="A232" s="22"/>
      <c r="B232" s="16" t="s">
        <v>99</v>
      </c>
      <c r="M232" s="146"/>
      <c r="N232" s="146"/>
      <c r="O232" s="146"/>
      <c r="P232" s="146"/>
      <c r="Q232" s="146"/>
      <c r="R232" s="146"/>
    </row>
    <row r="233" spans="1:18" x14ac:dyDescent="0.25">
      <c r="A233" s="22"/>
      <c r="B233" s="17" t="s">
        <v>100</v>
      </c>
      <c r="M233" s="146"/>
      <c r="N233" s="146"/>
      <c r="O233" s="146"/>
      <c r="P233" s="146"/>
      <c r="Q233" s="146"/>
      <c r="R233" s="146"/>
    </row>
    <row r="234" spans="1:18" x14ac:dyDescent="0.25">
      <c r="A234" s="22"/>
      <c r="B234" s="17" t="s">
        <v>21</v>
      </c>
      <c r="M234" s="146"/>
      <c r="N234" s="146"/>
      <c r="O234" s="146"/>
      <c r="P234" s="146"/>
      <c r="Q234" s="146"/>
      <c r="R234" s="146"/>
    </row>
    <row r="235" spans="1:18" x14ac:dyDescent="0.25">
      <c r="A235" s="22"/>
      <c r="B235" s="77"/>
      <c r="C235" s="74"/>
      <c r="D235" s="74"/>
      <c r="I235" s="89"/>
      <c r="J235" s="80"/>
      <c r="K235" s="93"/>
    </row>
    <row r="236" spans="1:18" x14ac:dyDescent="0.25">
      <c r="A236" s="22"/>
      <c r="C236" s="74"/>
      <c r="D236" s="74"/>
    </row>
    <row r="237" spans="1:18" x14ac:dyDescent="0.25">
      <c r="A237" s="22"/>
      <c r="B237" s="37" t="s">
        <v>101</v>
      </c>
      <c r="C237" s="74"/>
      <c r="D237" s="74"/>
      <c r="I237" s="96"/>
      <c r="K237" s="93"/>
    </row>
    <row r="238" spans="1:18" x14ac:dyDescent="0.25">
      <c r="A238" s="22"/>
      <c r="B238" s="77"/>
      <c r="C238" s="74"/>
      <c r="D238" s="74"/>
      <c r="I238" s="89"/>
      <c r="J238" s="97"/>
      <c r="K238" s="93"/>
    </row>
    <row r="239" spans="1:18" ht="15.6" x14ac:dyDescent="0.3">
      <c r="A239" s="22"/>
      <c r="B239" s="534" t="str">
        <f>$B$1</f>
        <v xml:space="preserve">Jersey Central Power &amp; Light </v>
      </c>
      <c r="C239" s="534"/>
      <c r="D239" s="534"/>
      <c r="E239" s="534"/>
      <c r="F239" s="534"/>
      <c r="G239" s="534"/>
      <c r="H239" s="534"/>
      <c r="I239" s="534"/>
      <c r="J239" s="534"/>
      <c r="K239" s="534"/>
      <c r="L239" s="534"/>
    </row>
    <row r="240" spans="1:18" ht="15.6" x14ac:dyDescent="0.3">
      <c r="A240" s="22"/>
      <c r="B240" s="534" t="str">
        <f>$B$2</f>
        <v>Attachment 2</v>
      </c>
      <c r="C240" s="534"/>
      <c r="D240" s="534"/>
      <c r="E240" s="534"/>
      <c r="F240" s="534"/>
      <c r="G240" s="534"/>
      <c r="H240" s="534"/>
      <c r="I240" s="534"/>
      <c r="J240" s="534"/>
      <c r="K240" s="534"/>
      <c r="L240" s="534"/>
    </row>
    <row r="241" spans="1:12" ht="15.6" x14ac:dyDescent="0.3">
      <c r="A241" s="22"/>
      <c r="B241" s="167"/>
      <c r="C241" s="167"/>
      <c r="D241" s="167"/>
      <c r="E241" s="167"/>
      <c r="F241" s="167"/>
      <c r="G241" s="167"/>
      <c r="H241" s="167"/>
      <c r="I241" s="167"/>
      <c r="J241" s="167"/>
      <c r="K241" s="167"/>
      <c r="L241" s="167"/>
    </row>
    <row r="242" spans="1:12" ht="15.6" x14ac:dyDescent="0.3">
      <c r="A242" s="18" t="s">
        <v>106</v>
      </c>
      <c r="B242" s="164" t="s">
        <v>241</v>
      </c>
      <c r="C242" s="20"/>
      <c r="E242" s="166"/>
      <c r="F242" s="38"/>
      <c r="K242" s="167"/>
      <c r="L242" s="167"/>
    </row>
    <row r="243" spans="1:12" ht="15.6" x14ac:dyDescent="0.3">
      <c r="B243" s="13" t="s">
        <v>242</v>
      </c>
      <c r="K243" s="167"/>
      <c r="L243" s="167"/>
    </row>
    <row r="244" spans="1:12" ht="15.6" x14ac:dyDescent="0.3">
      <c r="E244" s="26" t="s">
        <v>61</v>
      </c>
      <c r="F244" s="26" t="s">
        <v>62</v>
      </c>
      <c r="G244" s="26" t="s">
        <v>65</v>
      </c>
      <c r="H244" s="26" t="s">
        <v>203</v>
      </c>
      <c r="I244" s="26" t="s">
        <v>55</v>
      </c>
      <c r="K244" s="167"/>
      <c r="L244" s="167"/>
    </row>
    <row r="245" spans="1:12" ht="15.6" x14ac:dyDescent="0.3">
      <c r="K245" s="167"/>
      <c r="L245" s="167"/>
    </row>
    <row r="246" spans="1:12" ht="15.6" x14ac:dyDescent="0.3">
      <c r="B246" s="28" t="s">
        <v>17</v>
      </c>
      <c r="E246" s="55">
        <f>'Composite Cost Allocation'!E110</f>
        <v>2080422.4798940001</v>
      </c>
      <c r="G246" s="55">
        <f>'Composite Cost Allocation'!G110</f>
        <v>2187580000</v>
      </c>
      <c r="I246" s="55">
        <f>'Composite Cost Allocation'!I110</f>
        <v>38075000</v>
      </c>
      <c r="K246" s="167"/>
      <c r="L246" s="167"/>
    </row>
    <row r="247" spans="1:12" ht="15.6" x14ac:dyDescent="0.3">
      <c r="B247" s="77" t="s">
        <v>72</v>
      </c>
      <c r="E247" s="55">
        <f>'Composite Cost Allocation'!E111</f>
        <v>30286611</v>
      </c>
      <c r="H247" s="55">
        <f>'Composite Cost Allocation'!H111</f>
        <v>15200926.100000001</v>
      </c>
      <c r="K247" s="167"/>
      <c r="L247" s="167"/>
    </row>
    <row r="248" spans="1:12" ht="15.6" x14ac:dyDescent="0.3">
      <c r="B248" s="77" t="s">
        <v>73</v>
      </c>
      <c r="E248" s="55">
        <f>'Composite Cost Allocation'!E112</f>
        <v>43822966.520106003</v>
      </c>
      <c r="H248" s="55">
        <f>'Composite Cost Allocation'!H112</f>
        <v>17415073.899999999</v>
      </c>
      <c r="K248" s="167"/>
      <c r="L248" s="167"/>
    </row>
    <row r="249" spans="1:12" ht="15.6" x14ac:dyDescent="0.3">
      <c r="B249" s="89" t="s">
        <v>142</v>
      </c>
      <c r="F249" s="55">
        <f>'Composite Cost Allocation'!F113</f>
        <v>1937650000</v>
      </c>
      <c r="K249" s="167"/>
      <c r="L249" s="167"/>
    </row>
    <row r="250" spans="1:12" ht="15.6" x14ac:dyDescent="0.3">
      <c r="B250" s="89" t="s">
        <v>144</v>
      </c>
      <c r="F250" s="55">
        <f>'Composite Cost Allocation'!F114</f>
        <v>1725873000</v>
      </c>
      <c r="K250" s="167"/>
      <c r="L250" s="167"/>
    </row>
    <row r="251" spans="1:12" ht="15.6" x14ac:dyDescent="0.3">
      <c r="K251" s="167"/>
      <c r="L251" s="167"/>
    </row>
    <row r="252" spans="1:12" ht="15.6" x14ac:dyDescent="0.3">
      <c r="B252" s="28" t="s">
        <v>18</v>
      </c>
      <c r="E252" s="55">
        <f>'Composite Cost Allocation'!E116</f>
        <v>4242572.9285309995</v>
      </c>
      <c r="F252" s="55">
        <f>'Composite Cost Allocation'!F116</f>
        <v>5157543000</v>
      </c>
      <c r="G252" s="55">
        <f>'Composite Cost Allocation'!G116</f>
        <v>3796476000</v>
      </c>
      <c r="I252" s="55">
        <f>'Composite Cost Allocation'!I116</f>
        <v>76214000</v>
      </c>
      <c r="K252" s="167"/>
      <c r="L252" s="167"/>
    </row>
    <row r="253" spans="1:12" ht="15.6" x14ac:dyDescent="0.3">
      <c r="B253" s="77" t="s">
        <v>72</v>
      </c>
      <c r="E253" s="55">
        <f>'Composite Cost Allocation'!E117</f>
        <v>55263715.358677089</v>
      </c>
      <c r="H253" s="55">
        <f>'Composite Cost Allocation'!H117</f>
        <v>37452340.899999999</v>
      </c>
      <c r="K253" s="167"/>
      <c r="L253" s="167"/>
    </row>
    <row r="254" spans="1:12" ht="15.6" x14ac:dyDescent="0.3">
      <c r="B254" s="77" t="s">
        <v>73</v>
      </c>
      <c r="E254" s="55">
        <f>'Composite Cost Allocation'!E118</f>
        <v>100382711.71279192</v>
      </c>
      <c r="H254" s="55">
        <f>'Composite Cost Allocation'!H118</f>
        <v>47954659.100000001</v>
      </c>
      <c r="K254" s="167"/>
      <c r="L254" s="167"/>
    </row>
    <row r="255" spans="1:12" ht="15.6" x14ac:dyDescent="0.3">
      <c r="J255" s="26" t="s">
        <v>13</v>
      </c>
      <c r="K255" s="167"/>
      <c r="L255" s="167"/>
    </row>
    <row r="256" spans="1:12" ht="15.6" x14ac:dyDescent="0.3">
      <c r="B256" s="89" t="s">
        <v>162</v>
      </c>
      <c r="E256" s="55">
        <f>SUM(E246:E250)</f>
        <v>76190000</v>
      </c>
      <c r="F256" s="55">
        <f>SUM(F246:F250)</f>
        <v>3663523000</v>
      </c>
      <c r="G256" s="55">
        <f>SUM(G246:G250)</f>
        <v>2187580000</v>
      </c>
      <c r="H256" s="55">
        <f>SUM(H246:H250)</f>
        <v>32616000</v>
      </c>
      <c r="I256" s="55">
        <f>SUM(I246:I250)</f>
        <v>38075000</v>
      </c>
      <c r="J256" s="55">
        <f>SUM(E256:I256)</f>
        <v>5997984000</v>
      </c>
      <c r="K256" s="167"/>
      <c r="L256" s="167"/>
    </row>
    <row r="257" spans="1:15" ht="15.6" x14ac:dyDescent="0.3">
      <c r="B257" s="89" t="s">
        <v>163</v>
      </c>
      <c r="E257" s="139">
        <f>SUM(E252:E254)</f>
        <v>159889000</v>
      </c>
      <c r="F257" s="139">
        <f>SUM(F252:F254)</f>
        <v>5157543000</v>
      </c>
      <c r="G257" s="134">
        <f>SUM(G252:G254)</f>
        <v>3796476000</v>
      </c>
      <c r="H257" s="134">
        <f>SUM(H252:H254)</f>
        <v>85407000</v>
      </c>
      <c r="I257" s="134">
        <f>SUM(I252:I254)</f>
        <v>76214000</v>
      </c>
      <c r="J257" s="139">
        <f>SUM(E257:I257)</f>
        <v>9275529000</v>
      </c>
      <c r="K257" s="167"/>
      <c r="L257" s="167"/>
    </row>
    <row r="258" spans="1:15" ht="15.6" x14ac:dyDescent="0.3">
      <c r="B258" s="89" t="s">
        <v>164</v>
      </c>
      <c r="E258" s="55">
        <f>SUM(E256:E257)</f>
        <v>236079000</v>
      </c>
      <c r="F258" s="55">
        <f>SUM(F256:F257)</f>
        <v>8821066000</v>
      </c>
      <c r="G258" s="55">
        <f>SUM(G256:G257)</f>
        <v>5984056000</v>
      </c>
      <c r="H258" s="55">
        <f>SUM(H256:H257)</f>
        <v>118023000</v>
      </c>
      <c r="I258" s="55">
        <f>SUM(I256:I257)</f>
        <v>114289000</v>
      </c>
      <c r="J258" s="55">
        <f>SUM(E258:I258)</f>
        <v>15273513000</v>
      </c>
      <c r="K258" s="167"/>
      <c r="L258" s="167"/>
    </row>
    <row r="259" spans="1:15" ht="15.6" x14ac:dyDescent="0.3">
      <c r="A259" s="22"/>
      <c r="B259" s="167"/>
      <c r="C259" s="167"/>
      <c r="D259" s="167"/>
      <c r="E259" s="167"/>
      <c r="F259" s="167"/>
      <c r="G259" s="167"/>
      <c r="H259" s="167"/>
      <c r="I259" s="167"/>
      <c r="J259" s="167"/>
      <c r="K259" s="167"/>
      <c r="L259" s="167"/>
    </row>
    <row r="260" spans="1:15" ht="15.6" x14ac:dyDescent="0.3">
      <c r="A260" s="22"/>
      <c r="B260" s="167"/>
      <c r="C260" s="167"/>
      <c r="D260" s="167"/>
      <c r="E260" s="167"/>
      <c r="F260" s="167"/>
      <c r="G260" s="167"/>
      <c r="H260" s="167"/>
      <c r="I260" s="167"/>
      <c r="J260" s="167"/>
      <c r="K260" s="167"/>
      <c r="L260" s="167"/>
    </row>
    <row r="262" spans="1:15" x14ac:dyDescent="0.25">
      <c r="A262" s="6" t="s">
        <v>133</v>
      </c>
      <c r="B262" s="1" t="s">
        <v>168</v>
      </c>
      <c r="C262"/>
      <c r="D262"/>
      <c r="E262"/>
      <c r="F262"/>
      <c r="G262"/>
      <c r="H262"/>
      <c r="I262"/>
      <c r="J262"/>
      <c r="K262"/>
      <c r="L262"/>
    </row>
    <row r="263" spans="1:15" x14ac:dyDescent="0.25">
      <c r="A263" s="7"/>
      <c r="B263" s="1"/>
      <c r="C263"/>
      <c r="D263"/>
      <c r="E263"/>
      <c r="F263"/>
      <c r="G263"/>
      <c r="H263"/>
      <c r="I263"/>
      <c r="J263"/>
      <c r="K263"/>
      <c r="L263"/>
    </row>
    <row r="264" spans="1:15" x14ac:dyDescent="0.25">
      <c r="A264" s="7"/>
      <c r="B264"/>
      <c r="C264" s="2"/>
      <c r="D264" s="2"/>
      <c r="E264" s="26" t="str">
        <f>+E$13</f>
        <v>RT{1}</v>
      </c>
      <c r="F264" s="26" t="str">
        <f>+F$13</f>
        <v>RS{2}</v>
      </c>
      <c r="G264" s="26" t="str">
        <f>+G$13</f>
        <v>GS{3}</v>
      </c>
      <c r="H264" s="156" t="str">
        <f>+H$58</f>
        <v>GST {4}</v>
      </c>
      <c r="I264" s="26" t="str">
        <f>+I$13</f>
        <v>OL/SL</v>
      </c>
      <c r="J264" s="2" t="s">
        <v>13</v>
      </c>
      <c r="K264" s="2"/>
      <c r="L264" s="2"/>
    </row>
    <row r="265" spans="1:15" x14ac:dyDescent="0.25">
      <c r="A265" s="7"/>
      <c r="B265" t="s">
        <v>134</v>
      </c>
      <c r="C265"/>
      <c r="D265"/>
      <c r="E265"/>
      <c r="F265"/>
      <c r="G265"/>
      <c r="H265"/>
      <c r="I265"/>
      <c r="J265"/>
      <c r="K265"/>
      <c r="L265"/>
    </row>
    <row r="266" spans="1:15" x14ac:dyDescent="0.25">
      <c r="A266" s="7"/>
      <c r="B266" s="28" t="s">
        <v>17</v>
      </c>
      <c r="C266" s="150"/>
      <c r="D266" s="150"/>
      <c r="E266" s="150">
        <f>+E220*E246/1000000</f>
        <v>185.65443691465885</v>
      </c>
      <c r="F266" s="150"/>
      <c r="G266" s="150">
        <f>+G220*G246/1000000</f>
        <v>184068.46035010956</v>
      </c>
      <c r="H266" s="145"/>
      <c r="I266" s="150">
        <f>+I220*I246/1000000</f>
        <v>2264.037196848029</v>
      </c>
      <c r="J266" s="150"/>
      <c r="K266" s="150"/>
      <c r="L266" s="150"/>
    </row>
    <row r="267" spans="1:15" x14ac:dyDescent="0.25">
      <c r="A267" s="7"/>
      <c r="B267" s="77" t="s">
        <v>72</v>
      </c>
      <c r="C267" s="150"/>
      <c r="D267" s="150"/>
      <c r="E267" s="150">
        <f>+E221*E247/1000000</f>
        <v>4165.654609571855</v>
      </c>
      <c r="F267" s="150"/>
      <c r="G267" s="150"/>
      <c r="H267" s="150">
        <f>+H221*H247/1000000</f>
        <v>2034.179044972966</v>
      </c>
      <c r="I267" s="150"/>
      <c r="J267" s="150"/>
      <c r="K267" s="150"/>
      <c r="L267" s="150"/>
    </row>
    <row r="268" spans="1:15" x14ac:dyDescent="0.25">
      <c r="A268" s="7"/>
      <c r="B268" s="77" t="s">
        <v>73</v>
      </c>
      <c r="C268" s="150"/>
      <c r="D268" s="150"/>
      <c r="E268" s="150">
        <f>+E222*E248/1000000</f>
        <v>2447.9443357623823</v>
      </c>
      <c r="F268" s="150"/>
      <c r="G268" s="150"/>
      <c r="H268" s="150">
        <f>+H222*H248/1000000</f>
        <v>989.26813802898482</v>
      </c>
      <c r="I268" s="150"/>
      <c r="J268" s="150"/>
      <c r="K268" s="81"/>
      <c r="L268" s="81"/>
      <c r="M268" s="81"/>
      <c r="N268" s="81"/>
      <c r="O268" s="81"/>
    </row>
    <row r="269" spans="1:15" x14ac:dyDescent="0.25">
      <c r="A269" s="7"/>
      <c r="B269" s="89" t="s">
        <v>142</v>
      </c>
      <c r="C269" s="150"/>
      <c r="D269" s="150"/>
      <c r="E269" s="150"/>
      <c r="F269" s="150">
        <f>+F223*F249/1000000</f>
        <v>153824.919298163</v>
      </c>
      <c r="G269" s="150"/>
      <c r="H269" s="145"/>
      <c r="I269" s="150"/>
      <c r="J269" s="150"/>
      <c r="K269" s="150"/>
      <c r="L269" s="150"/>
    </row>
    <row r="270" spans="1:15" x14ac:dyDescent="0.25">
      <c r="A270" s="7"/>
      <c r="B270" s="89" t="s">
        <v>144</v>
      </c>
      <c r="C270" s="150"/>
      <c r="D270" s="150"/>
      <c r="E270" s="150"/>
      <c r="F270" s="150">
        <f>+F224*F250/1000000</f>
        <v>151944.755424926</v>
      </c>
      <c r="G270" s="150"/>
      <c r="H270" s="145"/>
      <c r="I270" s="150"/>
      <c r="J270" s="150"/>
      <c r="K270" s="150"/>
      <c r="L270" s="150"/>
    </row>
    <row r="271" spans="1:15" x14ac:dyDescent="0.25">
      <c r="A271" s="7"/>
      <c r="C271" s="150"/>
      <c r="D271" s="150"/>
      <c r="E271" s="150"/>
      <c r="F271" s="150"/>
      <c r="G271" s="150"/>
      <c r="H271" s="145"/>
      <c r="I271" s="150"/>
      <c r="J271" s="150"/>
      <c r="K271" s="150"/>
      <c r="L271" s="150"/>
    </row>
    <row r="272" spans="1:15" x14ac:dyDescent="0.25">
      <c r="A272" s="7"/>
      <c r="B272" s="28" t="s">
        <v>18</v>
      </c>
      <c r="C272" s="150"/>
      <c r="D272" s="150"/>
      <c r="E272" s="150">
        <f>+E226*E252/1000000</f>
        <v>359.68831553358962</v>
      </c>
      <c r="F272" s="150">
        <f>+F226*F252/1000000</f>
        <v>441641.01778536162</v>
      </c>
      <c r="G272" s="150">
        <f>+G226*G252/1000000</f>
        <v>309452.08855510503</v>
      </c>
      <c r="I272" s="150">
        <f>+I226*I252/1000000</f>
        <v>4497.3465426363855</v>
      </c>
      <c r="J272" s="150"/>
      <c r="K272" s="150"/>
      <c r="L272" s="150"/>
    </row>
    <row r="273" spans="1:12" x14ac:dyDescent="0.25">
      <c r="A273" s="7"/>
      <c r="B273" s="77" t="s">
        <v>72</v>
      </c>
      <c r="C273" s="150"/>
      <c r="D273" s="150"/>
      <c r="E273" s="150">
        <f>+E227*E253/1000000</f>
        <v>7434.6297859660217</v>
      </c>
      <c r="F273" s="3"/>
      <c r="G273" s="3"/>
      <c r="H273" s="150">
        <f>+H227*H253/1000000</f>
        <v>4331.019620585439</v>
      </c>
      <c r="I273" s="3"/>
      <c r="J273" s="150"/>
      <c r="K273" s="150"/>
      <c r="L273" s="150"/>
    </row>
    <row r="274" spans="1:12" x14ac:dyDescent="0.25">
      <c r="A274" s="7"/>
      <c r="B274" s="77" t="s">
        <v>73</v>
      </c>
      <c r="C274" s="3"/>
      <c r="D274" s="3"/>
      <c r="E274" s="150">
        <f>+E228*E254/1000000</f>
        <v>5760.8435907917155</v>
      </c>
      <c r="H274" s="150">
        <f>+H228*H254/1000000</f>
        <v>2720.688015252912</v>
      </c>
      <c r="J274" s="150"/>
      <c r="K274" s="150"/>
      <c r="L274" s="150"/>
    </row>
    <row r="275" spans="1:12" x14ac:dyDescent="0.25">
      <c r="A275" s="7"/>
      <c r="B275" s="5"/>
      <c r="C275"/>
      <c r="D275"/>
      <c r="E275"/>
      <c r="F275"/>
      <c r="G275"/>
      <c r="H275"/>
      <c r="I275"/>
      <c r="J275"/>
      <c r="K275"/>
      <c r="L275"/>
    </row>
    <row r="276" spans="1:12" x14ac:dyDescent="0.25">
      <c r="A276" s="7"/>
      <c r="B276" t="s">
        <v>135</v>
      </c>
      <c r="C276"/>
      <c r="D276"/>
      <c r="E276"/>
      <c r="F276"/>
      <c r="G276"/>
      <c r="H276"/>
      <c r="I276"/>
      <c r="J276"/>
      <c r="K276"/>
      <c r="L276"/>
    </row>
    <row r="277" spans="1:12" x14ac:dyDescent="0.25">
      <c r="A277" s="7"/>
      <c r="B277" s="5" t="s">
        <v>25</v>
      </c>
      <c r="D277"/>
      <c r="E277" s="3">
        <f>SUM(E266:E270)</f>
        <v>6799.2533822488958</v>
      </c>
      <c r="F277" s="3">
        <f>SUM(F266:F270)</f>
        <v>305769.67472308897</v>
      </c>
      <c r="G277" s="3">
        <f>SUM(G266:G270)</f>
        <v>184068.46035010956</v>
      </c>
      <c r="H277" s="3">
        <f>SUM(H266:H270)</f>
        <v>3023.4471830019511</v>
      </c>
      <c r="I277" s="3">
        <f>SUM(I266:I270)</f>
        <v>2264.037196848029</v>
      </c>
      <c r="J277" s="152">
        <f>SUM(E277:I277)</f>
        <v>501924.87283529743</v>
      </c>
      <c r="K277"/>
      <c r="L277"/>
    </row>
    <row r="278" spans="1:12" x14ac:dyDescent="0.25">
      <c r="A278" s="7"/>
      <c r="B278" s="5" t="s">
        <v>26</v>
      </c>
      <c r="D278"/>
      <c r="E278" s="3">
        <f>SUM(E272:E274)</f>
        <v>13555.161692291327</v>
      </c>
      <c r="F278" s="3">
        <f>SUM(F272:F274)</f>
        <v>441641.01778536162</v>
      </c>
      <c r="G278" s="3">
        <f>SUM(G272:G274)</f>
        <v>309452.08855510503</v>
      </c>
      <c r="H278" s="3">
        <f>SUM(H272:H274)</f>
        <v>7051.7076358383511</v>
      </c>
      <c r="I278" s="3">
        <f>SUM(I272:I274)</f>
        <v>4497.3465426363855</v>
      </c>
      <c r="J278" s="152">
        <f>SUM(E278:I278)</f>
        <v>776197.32221123273</v>
      </c>
      <c r="K278"/>
      <c r="L278"/>
    </row>
    <row r="279" spans="1:12" x14ac:dyDescent="0.25">
      <c r="A279" s="7"/>
      <c r="B279" s="5" t="s">
        <v>13</v>
      </c>
      <c r="D279"/>
      <c r="E279" s="3">
        <f>SUM(E277:E278)</f>
        <v>20354.415074540222</v>
      </c>
      <c r="F279" s="3">
        <f>SUM(F277:F278)</f>
        <v>747410.69250845059</v>
      </c>
      <c r="G279" s="3">
        <f>SUM(G277:G278)</f>
        <v>493520.54890521459</v>
      </c>
      <c r="H279" s="3">
        <f>SUM(H277:H278)</f>
        <v>10075.154818840303</v>
      </c>
      <c r="I279" s="3">
        <f>SUM(I277:I278)</f>
        <v>6761.383739484414</v>
      </c>
      <c r="J279" s="3">
        <f>SUM(E279:I279)</f>
        <v>1278122.1950465301</v>
      </c>
      <c r="L279"/>
    </row>
    <row r="280" spans="1:12" x14ac:dyDescent="0.25">
      <c r="A280" s="7"/>
      <c r="B280"/>
      <c r="C280"/>
      <c r="D280"/>
      <c r="E280"/>
      <c r="F280"/>
      <c r="G280"/>
      <c r="H280"/>
      <c r="J280"/>
      <c r="L280"/>
    </row>
    <row r="281" spans="1:12" x14ac:dyDescent="0.25">
      <c r="A281" s="7"/>
      <c r="B281" t="s">
        <v>136</v>
      </c>
      <c r="C281"/>
      <c r="D281"/>
      <c r="E281"/>
      <c r="F281"/>
      <c r="G281"/>
      <c r="H281"/>
      <c r="J281"/>
      <c r="L281"/>
    </row>
    <row r="282" spans="1:12" x14ac:dyDescent="0.25">
      <c r="A282" s="7"/>
      <c r="B282" s="5" t="s">
        <v>25</v>
      </c>
      <c r="C282"/>
      <c r="D282"/>
      <c r="E282" s="151">
        <f t="shared" ref="E282:J282" si="16">+E277/E279</f>
        <v>0.33404317232154518</v>
      </c>
      <c r="F282" s="151">
        <f t="shared" si="16"/>
        <v>0.40910529885098185</v>
      </c>
      <c r="G282" s="151">
        <f t="shared" si="16"/>
        <v>0.37297020510783574</v>
      </c>
      <c r="H282" s="151">
        <f t="shared" si="16"/>
        <v>0.30008940183709892</v>
      </c>
      <c r="I282" s="151">
        <f t="shared" si="16"/>
        <v>0.33484820327927017</v>
      </c>
      <c r="J282" s="151">
        <f t="shared" si="16"/>
        <v>0.39270491881022757</v>
      </c>
      <c r="L282"/>
    </row>
    <row r="283" spans="1:12" x14ac:dyDescent="0.25">
      <c r="A283" s="7"/>
      <c r="B283" s="5" t="s">
        <v>26</v>
      </c>
      <c r="C283"/>
      <c r="D283"/>
      <c r="E283" s="151">
        <f t="shared" ref="E283:J283" si="17">+E278/E279</f>
        <v>0.66595682767845488</v>
      </c>
      <c r="F283" s="151">
        <f t="shared" si="17"/>
        <v>0.59089470114901821</v>
      </c>
      <c r="G283" s="151">
        <f t="shared" si="17"/>
        <v>0.62702979489216426</v>
      </c>
      <c r="H283" s="151">
        <f t="shared" si="17"/>
        <v>0.69991059816290102</v>
      </c>
      <c r="I283" s="151">
        <f t="shared" si="17"/>
        <v>0.66515179672072988</v>
      </c>
      <c r="J283" s="151">
        <f t="shared" si="17"/>
        <v>0.60729508118977249</v>
      </c>
      <c r="L283"/>
    </row>
    <row r="284" spans="1:12" x14ac:dyDescent="0.25">
      <c r="A284" s="7"/>
      <c r="B284" s="5"/>
      <c r="C284"/>
      <c r="D284"/>
      <c r="E284" s="151"/>
      <c r="F284" s="151"/>
      <c r="G284" s="151"/>
      <c r="H284" s="151"/>
      <c r="I284" s="151"/>
      <c r="J284" s="151"/>
      <c r="L284"/>
    </row>
    <row r="285" spans="1:12" x14ac:dyDescent="0.25">
      <c r="A285" s="7"/>
      <c r="B285" s="5"/>
      <c r="C285"/>
      <c r="D285"/>
      <c r="E285" s="151"/>
      <c r="F285" s="151"/>
      <c r="G285" s="151"/>
      <c r="H285" s="151"/>
      <c r="I285" s="151"/>
      <c r="J285" s="151"/>
      <c r="L285"/>
    </row>
    <row r="286" spans="1:12" ht="15.6" x14ac:dyDescent="0.3">
      <c r="A286" s="22"/>
      <c r="B286" s="534" t="str">
        <f>$B$1</f>
        <v xml:space="preserve">Jersey Central Power &amp; Light </v>
      </c>
      <c r="C286" s="534"/>
      <c r="D286" s="534"/>
      <c r="E286" s="534"/>
      <c r="F286" s="534"/>
      <c r="G286" s="534"/>
      <c r="H286" s="534"/>
      <c r="I286" s="534"/>
      <c r="J286" s="534"/>
      <c r="K286" s="534"/>
      <c r="L286" s="534"/>
    </row>
    <row r="287" spans="1:12" ht="15.6" x14ac:dyDescent="0.3">
      <c r="A287" s="22"/>
      <c r="B287" s="534" t="str">
        <f>$B$2</f>
        <v>Attachment 2</v>
      </c>
      <c r="C287" s="534"/>
      <c r="D287" s="534"/>
      <c r="E287" s="534"/>
      <c r="F287" s="534"/>
      <c r="G287" s="534"/>
      <c r="H287" s="534"/>
      <c r="I287" s="534"/>
      <c r="J287" s="534"/>
      <c r="K287" s="534"/>
      <c r="L287" s="534"/>
    </row>
    <row r="288" spans="1:12" x14ac:dyDescent="0.25">
      <c r="A288" s="7"/>
      <c r="B288" s="5"/>
      <c r="C288"/>
      <c r="D288"/>
      <c r="E288" s="151"/>
      <c r="F288" s="151"/>
      <c r="G288" s="151"/>
      <c r="H288" s="151"/>
      <c r="I288" s="151"/>
      <c r="J288" s="151"/>
      <c r="L288"/>
    </row>
    <row r="289" spans="1:12" x14ac:dyDescent="0.25">
      <c r="A289" s="6" t="s">
        <v>138</v>
      </c>
      <c r="B289" s="1" t="s">
        <v>248</v>
      </c>
      <c r="C289"/>
      <c r="D289"/>
      <c r="E289"/>
      <c r="G289" s="81"/>
      <c r="J289"/>
      <c r="L289"/>
    </row>
    <row r="290" spans="1:12" x14ac:dyDescent="0.25">
      <c r="A290" s="7"/>
      <c r="C290" s="74"/>
      <c r="D290" s="74"/>
      <c r="J290"/>
      <c r="L290"/>
    </row>
    <row r="291" spans="1:12" x14ac:dyDescent="0.25">
      <c r="A291" s="7"/>
      <c r="B291" s="16" t="s">
        <v>232</v>
      </c>
      <c r="C291" s="74"/>
      <c r="D291" s="74"/>
      <c r="J291"/>
      <c r="L291"/>
    </row>
    <row r="292" spans="1:12" x14ac:dyDescent="0.25">
      <c r="A292" s="7"/>
      <c r="B292" s="89" t="s">
        <v>103</v>
      </c>
      <c r="C292" s="145">
        <f>J279</f>
        <v>1278122.1950465301</v>
      </c>
      <c r="J292"/>
      <c r="L292"/>
    </row>
    <row r="293" spans="1:12" x14ac:dyDescent="0.25">
      <c r="A293" s="7"/>
      <c r="B293" s="16"/>
      <c r="C293" s="145"/>
      <c r="J293"/>
      <c r="L293"/>
    </row>
    <row r="294" spans="1:12" x14ac:dyDescent="0.25">
      <c r="A294" s="7"/>
      <c r="B294" s="16" t="s">
        <v>230</v>
      </c>
      <c r="C294" s="145"/>
      <c r="E294" s="26" t="str">
        <f>+E$13</f>
        <v>RT{1}</v>
      </c>
      <c r="F294" s="26" t="str">
        <f>+F$13</f>
        <v>RS{2}</v>
      </c>
      <c r="G294" s="26" t="str">
        <f>+G$13</f>
        <v>GS{3}</v>
      </c>
      <c r="H294" s="156" t="str">
        <f>+H$58</f>
        <v>GST {4}</v>
      </c>
      <c r="I294" s="26" t="str">
        <f>+I$13</f>
        <v>OL/SL</v>
      </c>
      <c r="J294" s="2" t="s">
        <v>13</v>
      </c>
      <c r="L294"/>
    </row>
    <row r="295" spans="1:12" x14ac:dyDescent="0.25">
      <c r="A295" s="7"/>
      <c r="B295" s="21" t="s">
        <v>25</v>
      </c>
      <c r="C295" s="145"/>
      <c r="E295" s="162">
        <f>ROUND(SUM(E65:E68)*E95,0)</f>
        <v>85180</v>
      </c>
      <c r="F295" s="162">
        <f>ROUND(SUM(F65:F68)*F95,0)</f>
        <v>4095816</v>
      </c>
      <c r="G295" s="162">
        <f>ROUND(SUM(G65:G68)*G95,0)</f>
        <v>2445713</v>
      </c>
      <c r="H295" s="162">
        <f>ROUND(SUM(H65:H68)*H95,0)</f>
        <v>36465</v>
      </c>
      <c r="I295" s="162">
        <f>ROUND(SUM(I65:I68)*I95,0)</f>
        <v>42568</v>
      </c>
      <c r="J295" s="162">
        <f>SUM(E295:I295)</f>
        <v>6705742</v>
      </c>
      <c r="L295"/>
    </row>
    <row r="296" spans="1:12" x14ac:dyDescent="0.25">
      <c r="A296" s="7"/>
      <c r="B296" s="12" t="s">
        <v>26</v>
      </c>
      <c r="C296" s="145"/>
      <c r="E296" s="162">
        <f>ROUND((E72-SUM(E65:E68))*E95,0)</f>
        <v>178756</v>
      </c>
      <c r="F296" s="162">
        <f>ROUND((F72-SUM(F65:F68))*F95,0)</f>
        <v>5766129</v>
      </c>
      <c r="G296" s="162">
        <f>ROUND((G72-SUM(G65:G68))*G95,0)</f>
        <v>4244457</v>
      </c>
      <c r="H296" s="162">
        <f>ROUND((H72-SUM(H65:H68))*H95,0)</f>
        <v>95485</v>
      </c>
      <c r="I296" s="162">
        <f>ROUND((I72-SUM(I65:I68))*I95,0)</f>
        <v>85207</v>
      </c>
      <c r="J296" s="162">
        <f>SUM(E296:I296)</f>
        <v>10370034</v>
      </c>
      <c r="L296"/>
    </row>
    <row r="297" spans="1:12" x14ac:dyDescent="0.25">
      <c r="A297" s="7"/>
      <c r="C297" s="89"/>
      <c r="D297" s="146"/>
      <c r="J297" s="4"/>
      <c r="L297"/>
    </row>
    <row r="298" spans="1:12" x14ac:dyDescent="0.25">
      <c r="A298" s="7"/>
      <c r="B298" s="16" t="s">
        <v>233</v>
      </c>
      <c r="C298" s="89"/>
      <c r="D298" s="161" t="s">
        <v>221</v>
      </c>
      <c r="E298" s="134" t="s">
        <v>227</v>
      </c>
      <c r="J298"/>
      <c r="L298"/>
    </row>
    <row r="299" spans="1:12" x14ac:dyDescent="0.25">
      <c r="A299" s="7"/>
      <c r="B299" s="285" t="s">
        <v>427</v>
      </c>
      <c r="D299" s="38" t="s">
        <v>224</v>
      </c>
      <c r="E299" s="127">
        <v>74.849999999999994</v>
      </c>
      <c r="F299" s="38" t="s">
        <v>229</v>
      </c>
      <c r="G299" s="38" t="s">
        <v>231</v>
      </c>
      <c r="J299"/>
      <c r="L299"/>
    </row>
    <row r="300" spans="1:12" x14ac:dyDescent="0.25">
      <c r="A300" s="7"/>
      <c r="B300" s="13" t="s">
        <v>226</v>
      </c>
      <c r="C300" s="89"/>
      <c r="D300" s="168">
        <v>1</v>
      </c>
      <c r="E300" s="315">
        <f>ROUND($E$299*D300,3)</f>
        <v>74.849999999999994</v>
      </c>
      <c r="F300" s="55">
        <f>J295</f>
        <v>6705742</v>
      </c>
      <c r="G300" s="145">
        <f>ROUND(F300*E300/1000,0)</f>
        <v>501925</v>
      </c>
      <c r="J300"/>
      <c r="L300"/>
    </row>
    <row r="301" spans="1:12" ht="15" x14ac:dyDescent="0.4">
      <c r="A301" s="7"/>
      <c r="B301" s="13" t="s">
        <v>228</v>
      </c>
      <c r="C301" s="89"/>
      <c r="D301" s="168">
        <v>1</v>
      </c>
      <c r="E301" s="315">
        <f>ROUND($E$299*D301,3)</f>
        <v>74.849999999999994</v>
      </c>
      <c r="F301" s="55">
        <f>J296</f>
        <v>10370034</v>
      </c>
      <c r="G301" s="85">
        <f>ROUND(F301*E301/1000,0)</f>
        <v>776197</v>
      </c>
      <c r="J301"/>
      <c r="L301"/>
    </row>
    <row r="302" spans="1:12" x14ac:dyDescent="0.25">
      <c r="A302" s="7"/>
      <c r="B302" s="13" t="s">
        <v>234</v>
      </c>
      <c r="C302" s="89"/>
      <c r="D302" s="146"/>
      <c r="G302" s="81">
        <f>SUM(G300:G301)</f>
        <v>1278122</v>
      </c>
      <c r="J302"/>
      <c r="L302"/>
    </row>
    <row r="303" spans="1:12" x14ac:dyDescent="0.25">
      <c r="A303" s="7"/>
      <c r="C303" s="89"/>
      <c r="D303" s="146"/>
      <c r="J303"/>
      <c r="L303"/>
    </row>
    <row r="304" spans="1:12" x14ac:dyDescent="0.25">
      <c r="A304" s="7"/>
      <c r="C304" s="89"/>
      <c r="D304" s="146"/>
      <c r="J304"/>
      <c r="L304"/>
    </row>
    <row r="305" spans="1:15" x14ac:dyDescent="0.25">
      <c r="A305" s="6" t="s">
        <v>243</v>
      </c>
      <c r="B305" s="1" t="s">
        <v>235</v>
      </c>
      <c r="C305" s="89"/>
      <c r="D305" s="146"/>
      <c r="F305" s="5" t="s">
        <v>221</v>
      </c>
      <c r="G305" s="5" t="s">
        <v>223</v>
      </c>
      <c r="H305" s="71"/>
      <c r="I305"/>
    </row>
    <row r="306" spans="1:15" x14ac:dyDescent="0.25">
      <c r="A306" s="7"/>
      <c r="B306"/>
      <c r="C306"/>
      <c r="D306"/>
      <c r="E306"/>
      <c r="F306" s="5" t="s">
        <v>237</v>
      </c>
      <c r="G306" s="5" t="s">
        <v>224</v>
      </c>
      <c r="H306" s="5" t="s">
        <v>223</v>
      </c>
      <c r="I306"/>
    </row>
    <row r="307" spans="1:15" x14ac:dyDescent="0.25">
      <c r="A307" s="7"/>
      <c r="B307" t="s">
        <v>236</v>
      </c>
      <c r="C307"/>
      <c r="D307"/>
      <c r="E307"/>
      <c r="F307" s="8" t="s">
        <v>231</v>
      </c>
      <c r="G307" s="8" t="s">
        <v>225</v>
      </c>
      <c r="H307" s="8" t="s">
        <v>224</v>
      </c>
      <c r="I307" s="10"/>
    </row>
    <row r="308" spans="1:15" x14ac:dyDescent="0.25">
      <c r="A308" s="7"/>
      <c r="B308" s="5" t="s">
        <v>25</v>
      </c>
      <c r="C308" s="316">
        <f>J277*1000/J295</f>
        <v>74.850012546754314</v>
      </c>
      <c r="D308" t="s">
        <v>137</v>
      </c>
      <c r="E308"/>
      <c r="F308" s="280">
        <f>E300</f>
        <v>74.849999999999994</v>
      </c>
      <c r="G308" s="160">
        <f>E300/C308</f>
        <v>0.9999998323747199</v>
      </c>
      <c r="H308" s="310">
        <v>1.4277500000000001</v>
      </c>
    </row>
    <row r="309" spans="1:15" x14ac:dyDescent="0.25">
      <c r="A309" s="7"/>
      <c r="B309" s="5" t="s">
        <v>26</v>
      </c>
      <c r="C309" s="316">
        <f>J278*1000/J296</f>
        <v>74.850026741593396</v>
      </c>
      <c r="D309" t="s">
        <v>137</v>
      </c>
      <c r="E309"/>
      <c r="F309" s="280">
        <f>E301</f>
        <v>74.849999999999994</v>
      </c>
      <c r="G309" s="160">
        <f>E301/C309</f>
        <v>0.99999964273101072</v>
      </c>
      <c r="H309" s="310">
        <v>1.2658450000000001</v>
      </c>
    </row>
    <row r="310" spans="1:15" x14ac:dyDescent="0.25">
      <c r="A310" s="7"/>
      <c r="B310" s="5"/>
      <c r="C310" s="153"/>
      <c r="D310"/>
      <c r="E310"/>
      <c r="F310"/>
      <c r="G310"/>
      <c r="H310" s="2"/>
      <c r="I310" s="104"/>
      <c r="M310" s="16"/>
      <c r="N310" s="104"/>
      <c r="O310" s="104"/>
    </row>
    <row r="311" spans="1:15" x14ac:dyDescent="0.25">
      <c r="A311" s="7"/>
      <c r="B311"/>
      <c r="C311"/>
      <c r="D311"/>
      <c r="E311" s="138"/>
      <c r="F311" s="4"/>
      <c r="G311"/>
      <c r="H311"/>
      <c r="I311"/>
      <c r="J311"/>
      <c r="K311"/>
      <c r="L311"/>
    </row>
    <row r="312" spans="1:15" x14ac:dyDescent="0.25">
      <c r="A312" s="16" t="s">
        <v>108</v>
      </c>
      <c r="E312" s="98"/>
      <c r="F312" s="101"/>
      <c r="I312"/>
      <c r="J312"/>
      <c r="K312"/>
      <c r="L312"/>
    </row>
    <row r="313" spans="1:15" x14ac:dyDescent="0.25">
      <c r="A313" s="22"/>
      <c r="B313" s="89" t="s">
        <v>132</v>
      </c>
      <c r="C313" s="102">
        <f>E179</f>
        <v>150.297</v>
      </c>
      <c r="D313" s="93" t="s">
        <v>160</v>
      </c>
      <c r="E313" s="98"/>
      <c r="F313" s="101"/>
      <c r="I313"/>
      <c r="J313"/>
      <c r="K313"/>
      <c r="L313"/>
    </row>
    <row r="314" spans="1:15" x14ac:dyDescent="0.25">
      <c r="A314" s="22"/>
      <c r="B314" s="89"/>
      <c r="C314" s="102">
        <f>E180</f>
        <v>150.297</v>
      </c>
      <c r="D314" s="93" t="s">
        <v>161</v>
      </c>
      <c r="E314" s="98"/>
      <c r="F314" s="101"/>
      <c r="I314"/>
      <c r="J314"/>
      <c r="K314"/>
      <c r="L314"/>
    </row>
    <row r="315" spans="1:15" x14ac:dyDescent="0.25">
      <c r="A315" s="22"/>
      <c r="B315" s="89" t="s">
        <v>159</v>
      </c>
      <c r="C315" s="81" t="s">
        <v>158</v>
      </c>
      <c r="D315" s="93"/>
      <c r="E315" s="98"/>
      <c r="F315" s="101"/>
      <c r="I315"/>
      <c r="J315"/>
      <c r="K315"/>
      <c r="L315"/>
    </row>
    <row r="316" spans="1:15" x14ac:dyDescent="0.25">
      <c r="A316" s="22"/>
      <c r="B316" s="89" t="s">
        <v>109</v>
      </c>
      <c r="C316" s="149">
        <f>+H173</f>
        <v>4</v>
      </c>
      <c r="D316" s="13" t="s">
        <v>110</v>
      </c>
      <c r="E316" s="98"/>
      <c r="F316" s="101"/>
      <c r="I316"/>
      <c r="J316"/>
      <c r="K316"/>
      <c r="L316"/>
    </row>
    <row r="317" spans="1:15" x14ac:dyDescent="0.25">
      <c r="A317" s="22"/>
      <c r="B317" s="89"/>
      <c r="C317" s="149">
        <f>+H174</f>
        <v>8</v>
      </c>
      <c r="D317" s="13" t="s">
        <v>111</v>
      </c>
      <c r="E317" s="98"/>
      <c r="F317" s="101"/>
      <c r="I317"/>
      <c r="J317"/>
      <c r="K317"/>
      <c r="L317"/>
    </row>
    <row r="318" spans="1:15" x14ac:dyDescent="0.25">
      <c r="A318" s="22"/>
      <c r="B318" s="89" t="s">
        <v>112</v>
      </c>
      <c r="C318" s="102">
        <f>+E194</f>
        <v>3.798</v>
      </c>
      <c r="D318" s="13" t="s">
        <v>113</v>
      </c>
      <c r="E318" s="98"/>
      <c r="F318" s="101"/>
      <c r="I318"/>
      <c r="J318"/>
      <c r="K318"/>
      <c r="L318"/>
    </row>
    <row r="319" spans="1:15" x14ac:dyDescent="0.25">
      <c r="A319" s="22"/>
      <c r="B319" s="89" t="s">
        <v>114</v>
      </c>
      <c r="C319" s="21" t="s">
        <v>251</v>
      </c>
      <c r="E319" s="98"/>
      <c r="F319" s="101"/>
      <c r="I319"/>
      <c r="J319"/>
      <c r="K319"/>
      <c r="L319"/>
    </row>
    <row r="320" spans="1:15" x14ac:dyDescent="0.25">
      <c r="A320" s="22"/>
      <c r="B320" s="89"/>
      <c r="C320" s="406" t="s">
        <v>428</v>
      </c>
      <c r="E320" s="98"/>
      <c r="F320" s="101"/>
      <c r="I320"/>
      <c r="J320"/>
      <c r="K320"/>
      <c r="L320"/>
    </row>
    <row r="321" spans="1:12" x14ac:dyDescent="0.25">
      <c r="A321" s="22"/>
      <c r="B321" s="89" t="s">
        <v>115</v>
      </c>
      <c r="C321" s="12" t="str">
        <f>'BGS PTY16 Cost Alloc'!C$318</f>
        <v xml:space="preserve"> forecasted 2017 energy use by class based upon PJM on/off % from 2014 through 2016 class load profiles</v>
      </c>
      <c r="E321" s="98"/>
      <c r="F321" s="101"/>
      <c r="I321"/>
      <c r="J321"/>
      <c r="K321"/>
      <c r="L321"/>
    </row>
    <row r="322" spans="1:12" x14ac:dyDescent="0.25">
      <c r="A322" s="22"/>
      <c r="B322" s="89"/>
      <c r="C322" s="12" t="str">
        <f>'BGS PTY16 Cost Alloc'!C$319</f>
        <v xml:space="preserve">   JCP&amp;L billing on/off % from 2017 forecasted billing determinants</v>
      </c>
      <c r="E322" s="98"/>
      <c r="F322" s="101"/>
      <c r="I322"/>
      <c r="J322"/>
      <c r="K322"/>
      <c r="L322"/>
    </row>
    <row r="323" spans="1:12" x14ac:dyDescent="0.25">
      <c r="A323" s="22"/>
      <c r="B323" s="89" t="s">
        <v>116</v>
      </c>
      <c r="C323" s="12" t="str">
        <f>'BGS PTY16 Cost Alloc'!C$320</f>
        <v xml:space="preserve"> class totals for 2017 excluding accounts required to take service under BGS-CIEP as of June 1, 2018</v>
      </c>
      <c r="E323" s="98"/>
      <c r="F323" s="101"/>
      <c r="I323"/>
      <c r="J323"/>
      <c r="K323"/>
      <c r="L323"/>
    </row>
    <row r="324" spans="1:12" x14ac:dyDescent="0.25">
      <c r="A324" s="22"/>
      <c r="B324" s="89" t="s">
        <v>117</v>
      </c>
      <c r="C324" s="13" t="s">
        <v>166</v>
      </c>
      <c r="E324" s="98"/>
      <c r="F324" s="101"/>
      <c r="I324"/>
      <c r="J324"/>
      <c r="K324"/>
      <c r="L324"/>
    </row>
    <row r="325" spans="1:12" x14ac:dyDescent="0.25">
      <c r="A325" s="22"/>
      <c r="B325" s="89" t="s">
        <v>118</v>
      </c>
      <c r="C325" s="13" t="s">
        <v>214</v>
      </c>
      <c r="E325" s="100"/>
      <c r="F325" s="101"/>
      <c r="I325"/>
      <c r="J325"/>
      <c r="K325"/>
      <c r="L325"/>
    </row>
    <row r="326" spans="1:12" x14ac:dyDescent="0.25">
      <c r="C326" s="13" t="s">
        <v>119</v>
      </c>
      <c r="E326" s="98"/>
      <c r="F326" s="101"/>
      <c r="I326"/>
      <c r="J326"/>
      <c r="K326"/>
      <c r="L326"/>
    </row>
    <row r="327" spans="1:12" x14ac:dyDescent="0.25">
      <c r="B327" s="89" t="s">
        <v>120</v>
      </c>
      <c r="C327" s="103" t="s">
        <v>189</v>
      </c>
      <c r="E327" s="98"/>
      <c r="F327" s="101"/>
      <c r="I327"/>
      <c r="J327"/>
      <c r="K327"/>
      <c r="L327"/>
    </row>
    <row r="328" spans="1:12" x14ac:dyDescent="0.25">
      <c r="A328" s="22"/>
      <c r="C328" s="103" t="s">
        <v>121</v>
      </c>
      <c r="E328" s="99"/>
      <c r="I328"/>
      <c r="J328"/>
      <c r="K328"/>
      <c r="L328"/>
    </row>
    <row r="329" spans="1:12" x14ac:dyDescent="0.25">
      <c r="C329" s="103" t="s">
        <v>188</v>
      </c>
      <c r="I329"/>
      <c r="J329"/>
      <c r="K329"/>
      <c r="L329"/>
    </row>
    <row r="330" spans="1:12" x14ac:dyDescent="0.25">
      <c r="A330" s="7"/>
      <c r="B330" s="495" t="s">
        <v>456</v>
      </c>
      <c r="C330" s="496" t="s">
        <v>457</v>
      </c>
      <c r="D330"/>
      <c r="E330" s="138"/>
      <c r="F330" s="4"/>
      <c r="G330"/>
      <c r="H330"/>
      <c r="I330"/>
      <c r="J330"/>
      <c r="K330"/>
      <c r="L330"/>
    </row>
    <row r="331" spans="1:12" x14ac:dyDescent="0.25">
      <c r="A331" s="7"/>
      <c r="B331" t="str">
        <f>'BGS PTY16 Cost Alloc'!B329</f>
        <v xml:space="preserve"> </v>
      </c>
      <c r="C331" s="9"/>
      <c r="D331"/>
      <c r="E331" s="138"/>
      <c r="F331" s="138"/>
      <c r="G331"/>
      <c r="H331"/>
      <c r="I331"/>
      <c r="J331"/>
      <c r="K331"/>
      <c r="L331"/>
    </row>
    <row r="336" spans="1:12" x14ac:dyDescent="0.25">
      <c r="L336" s="145"/>
    </row>
    <row r="345" spans="12:12" x14ac:dyDescent="0.25">
      <c r="L345" s="145"/>
    </row>
    <row r="346" spans="12:12" x14ac:dyDescent="0.25">
      <c r="L346" s="145"/>
    </row>
    <row r="347" spans="12:12" x14ac:dyDescent="0.25">
      <c r="L347" s="145"/>
    </row>
    <row r="348" spans="12:12" x14ac:dyDescent="0.25">
      <c r="L348" s="140"/>
    </row>
    <row r="349" spans="12:12" x14ac:dyDescent="0.25">
      <c r="L349" s="140"/>
    </row>
    <row r="350" spans="12:12" x14ac:dyDescent="0.25">
      <c r="L350" s="140"/>
    </row>
  </sheetData>
  <sheetProtection algorithmName="SHA-512" hashValue="vBq1C4fO0amaewyxthtOqqS9kJvVayZZBuIhND7aMFxaSM2wcD71/6GfkMdjJFxoxlXLsuj8WapUNMf2VqEhZg==" saltValue="gHBctAEyeJiCQzBZ4ZE2VQ==" spinCount="100000" sheet="1" objects="1" scenarios="1"/>
  <mergeCells count="16">
    <mergeCell ref="B144:L144"/>
    <mergeCell ref="B286:L286"/>
    <mergeCell ref="B287:L287"/>
    <mergeCell ref="B239:L239"/>
    <mergeCell ref="B240:L240"/>
    <mergeCell ref="B209:L209"/>
    <mergeCell ref="B210:L210"/>
    <mergeCell ref="B103:L103"/>
    <mergeCell ref="B104:L104"/>
    <mergeCell ref="B143:L143"/>
    <mergeCell ref="B1:L1"/>
    <mergeCell ref="B2:L2"/>
    <mergeCell ref="B52:L52"/>
    <mergeCell ref="B53:L53"/>
    <mergeCell ref="B5:L5"/>
    <mergeCell ref="B3:L3"/>
  </mergeCells>
  <phoneticPr fontId="33" type="noConversion"/>
  <pageMargins left="0.97" right="0.79" top="0.69" bottom="0.67" header="0.33" footer="0.5"/>
  <pageSetup scale="60" orientation="landscape" r:id="rId1"/>
  <headerFooter alignWithMargins="0">
    <oddFooter>&amp;L&amp;F    &amp;A&amp;CPage &amp;P of &amp;N&amp;R&amp;D</oddFooter>
  </headerFooter>
  <rowBreaks count="6" manualBreakCount="6">
    <brk id="51" max="11" man="1"/>
    <brk id="102" max="11" man="1"/>
    <brk id="142" max="11" man="1"/>
    <brk id="208" max="11" man="1"/>
    <brk id="238" max="11" man="1"/>
    <brk id="285" max="11"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49"/>
  <sheetViews>
    <sheetView zoomScale="70" zoomScaleNormal="70" workbookViewId="0"/>
  </sheetViews>
  <sheetFormatPr defaultColWidth="9.109375" defaultRowHeight="13.2" x14ac:dyDescent="0.25"/>
  <cols>
    <col min="1" max="1" width="16.109375" style="12" customWidth="1"/>
    <col min="2" max="2" width="27.88671875" style="13" customWidth="1"/>
    <col min="3" max="3" width="14.5546875" style="13" customWidth="1"/>
    <col min="4" max="4" width="12.5546875" style="13" customWidth="1"/>
    <col min="5" max="5" width="16.5546875" style="13" customWidth="1"/>
    <col min="6" max="6" width="16" style="13" customWidth="1"/>
    <col min="7" max="7" width="16.5546875" style="13" customWidth="1"/>
    <col min="8" max="8" width="15.44140625" style="13" customWidth="1"/>
    <col min="9" max="9" width="14.109375" style="13" customWidth="1"/>
    <col min="10" max="10" width="16.44140625" style="13" customWidth="1"/>
    <col min="11" max="11" width="12.5546875" style="13" customWidth="1"/>
    <col min="12" max="12" width="16.5546875" style="13" customWidth="1"/>
    <col min="13" max="13" width="17" style="13" customWidth="1"/>
    <col min="14" max="14" width="15.109375" style="13" customWidth="1"/>
    <col min="15" max="16" width="12.44140625" style="13" customWidth="1"/>
    <col min="17" max="17" width="13.5546875" style="13" customWidth="1"/>
    <col min="18" max="18" width="14.44140625" style="13" customWidth="1"/>
    <col min="19" max="19" width="14.88671875" style="13" customWidth="1"/>
    <col min="20" max="20" width="15.109375" style="13" customWidth="1"/>
    <col min="21" max="21" width="14.109375" style="13" customWidth="1"/>
    <col min="22" max="22" width="12.44140625" style="13" customWidth="1"/>
    <col min="23" max="23" width="13.44140625" style="13" customWidth="1"/>
    <col min="24" max="24" width="15.44140625" style="13" customWidth="1"/>
    <col min="25" max="25" width="10.5546875" style="13" customWidth="1"/>
    <col min="26" max="26" width="11.5546875" style="13" customWidth="1"/>
    <col min="27" max="27" width="12.5546875" style="13" customWidth="1"/>
    <col min="28" max="28" width="13.44140625" style="13" customWidth="1"/>
    <col min="29" max="29" width="11" style="13" customWidth="1"/>
    <col min="30" max="30" width="14.109375" style="13" customWidth="1"/>
    <col min="31" max="31" width="9.88671875" style="13" customWidth="1"/>
    <col min="32" max="32" width="9.109375" style="13" customWidth="1"/>
    <col min="33" max="33" width="12" style="13" customWidth="1"/>
    <col min="34" max="37" width="9.109375" style="13" customWidth="1"/>
    <col min="38" max="38" width="9.44140625" style="13" customWidth="1"/>
    <col min="39" max="46" width="9.109375" style="13" customWidth="1"/>
    <col min="47" max="48" width="10.88671875" style="13" customWidth="1"/>
    <col min="49" max="49" width="12.44140625" style="13" customWidth="1"/>
    <col min="50" max="50" width="10.88671875" style="13" customWidth="1"/>
    <col min="51" max="51" width="11.44140625" style="13" customWidth="1"/>
    <col min="52" max="16384" width="9.109375" style="13"/>
  </cols>
  <sheetData>
    <row r="1" spans="1:26" ht="15.6" x14ac:dyDescent="0.3">
      <c r="B1" s="534" t="s">
        <v>69</v>
      </c>
      <c r="C1" s="534"/>
      <c r="D1" s="534"/>
      <c r="E1" s="534"/>
      <c r="F1" s="534"/>
      <c r="G1" s="534"/>
      <c r="H1" s="534"/>
      <c r="I1" s="534"/>
      <c r="J1" s="534"/>
      <c r="K1" s="534"/>
      <c r="L1" s="534"/>
    </row>
    <row r="2" spans="1:26" ht="15.6" x14ac:dyDescent="0.3">
      <c r="B2" s="534" t="s">
        <v>187</v>
      </c>
      <c r="C2" s="534"/>
      <c r="D2" s="534"/>
      <c r="E2" s="534"/>
      <c r="F2" s="534"/>
      <c r="G2" s="534"/>
      <c r="H2" s="534"/>
      <c r="I2" s="534"/>
      <c r="J2" s="534"/>
      <c r="K2" s="534"/>
      <c r="L2" s="534"/>
    </row>
    <row r="3" spans="1:26" ht="15.6" x14ac:dyDescent="0.3">
      <c r="B3" s="534" t="str">
        <f>'BGS PTY16 Cost Alloc'!$B$3</f>
        <v>2018 BGS Auction Cost and Bid Factor Tables</v>
      </c>
      <c r="C3" s="534"/>
      <c r="D3" s="534"/>
      <c r="E3" s="534"/>
      <c r="F3" s="534"/>
      <c r="G3" s="534"/>
      <c r="H3" s="534"/>
      <c r="I3" s="534"/>
      <c r="J3" s="534"/>
      <c r="K3" s="534"/>
      <c r="L3" s="534"/>
    </row>
    <row r="4" spans="1:26" ht="15.6" x14ac:dyDescent="0.3">
      <c r="B4" s="167"/>
      <c r="C4" s="167"/>
      <c r="D4" s="167"/>
      <c r="E4" s="167"/>
      <c r="F4" s="167"/>
      <c r="G4" s="167"/>
      <c r="H4" s="167"/>
      <c r="I4" s="167"/>
      <c r="J4" s="167"/>
      <c r="K4" s="167"/>
      <c r="L4" s="167"/>
    </row>
    <row r="5" spans="1:26" ht="15.6" x14ac:dyDescent="0.3">
      <c r="B5" s="535" t="s">
        <v>426</v>
      </c>
      <c r="C5" s="535"/>
      <c r="D5" s="535"/>
      <c r="E5" s="535"/>
      <c r="F5" s="535"/>
      <c r="G5" s="535"/>
      <c r="H5" s="535"/>
      <c r="I5" s="535"/>
      <c r="J5" s="535"/>
      <c r="K5" s="535"/>
      <c r="L5" s="535"/>
    </row>
    <row r="6" spans="1:26" x14ac:dyDescent="0.25">
      <c r="L6" s="121" t="s">
        <v>256</v>
      </c>
    </row>
    <row r="8" spans="1:26" ht="15.6" x14ac:dyDescent="0.3">
      <c r="B8" s="14" t="s">
        <v>50</v>
      </c>
    </row>
    <row r="9" spans="1:26" x14ac:dyDescent="0.25">
      <c r="A9" s="15"/>
      <c r="B9" s="16" t="s">
        <v>45</v>
      </c>
    </row>
    <row r="10" spans="1:26" x14ac:dyDescent="0.25">
      <c r="E10" s="17" t="str">
        <f>'BGS PTY16 Cost Alloc'!$E$10</f>
        <v>Based on an average of 2014 through 2016 Load Profile Information</v>
      </c>
    </row>
    <row r="11" spans="1:26" x14ac:dyDescent="0.25">
      <c r="A11" s="18" t="s">
        <v>30</v>
      </c>
      <c r="B11" s="19" t="s">
        <v>47</v>
      </c>
      <c r="C11" s="20"/>
      <c r="E11" s="17" t="s">
        <v>27</v>
      </c>
      <c r="N11" s="19"/>
      <c r="P11" s="21"/>
      <c r="Q11" s="19" t="s">
        <v>212</v>
      </c>
      <c r="R11" s="21"/>
      <c r="S11" s="21"/>
      <c r="T11" s="21"/>
      <c r="U11" s="21"/>
      <c r="V11" s="21"/>
      <c r="W11" s="21"/>
      <c r="X11" s="21"/>
      <c r="Y11" s="21"/>
      <c r="Z11" s="21"/>
    </row>
    <row r="12" spans="1:26" ht="26.4" x14ac:dyDescent="0.25">
      <c r="A12" s="22"/>
      <c r="C12" s="23"/>
      <c r="D12" s="23"/>
      <c r="E12" s="23" t="s">
        <v>24</v>
      </c>
      <c r="F12" s="23" t="s">
        <v>24</v>
      </c>
      <c r="G12" s="23" t="s">
        <v>24</v>
      </c>
      <c r="H12" s="23" t="s">
        <v>24</v>
      </c>
      <c r="I12" s="23" t="s">
        <v>56</v>
      </c>
      <c r="K12" s="23"/>
      <c r="L12" s="23"/>
      <c r="M12" s="23"/>
      <c r="N12" s="17"/>
      <c r="O12" s="23"/>
      <c r="P12" s="23"/>
      <c r="Q12" s="23" t="s">
        <v>24</v>
      </c>
      <c r="R12" s="23" t="s">
        <v>24</v>
      </c>
      <c r="S12" s="23" t="s">
        <v>24</v>
      </c>
      <c r="T12" s="23" t="s">
        <v>24</v>
      </c>
      <c r="U12" s="23" t="s">
        <v>56</v>
      </c>
      <c r="W12" s="23"/>
      <c r="X12" s="23"/>
      <c r="Y12" s="23"/>
      <c r="Z12" s="23"/>
    </row>
    <row r="13" spans="1:26" x14ac:dyDescent="0.25">
      <c r="A13" s="22"/>
      <c r="B13" s="24" t="s">
        <v>190</v>
      </c>
      <c r="C13" s="25"/>
      <c r="D13" s="25"/>
      <c r="E13" s="26" t="s">
        <v>61</v>
      </c>
      <c r="F13" s="26" t="s">
        <v>62</v>
      </c>
      <c r="G13" s="26" t="s">
        <v>65</v>
      </c>
      <c r="H13" s="26" t="s">
        <v>54</v>
      </c>
      <c r="I13" s="26" t="s">
        <v>55</v>
      </c>
      <c r="J13" s="25"/>
      <c r="K13" s="25"/>
      <c r="L13" s="25"/>
      <c r="M13" s="25"/>
      <c r="N13" s="27"/>
      <c r="O13" s="26"/>
      <c r="P13" s="26"/>
      <c r="Q13" s="26" t="str">
        <f>+E13</f>
        <v>RT{1}</v>
      </c>
      <c r="R13" s="26" t="str">
        <f>+F13</f>
        <v>RS{2}</v>
      </c>
      <c r="S13" s="26" t="str">
        <f>+G13</f>
        <v>GS{3}</v>
      </c>
      <c r="T13" s="26" t="str">
        <f>+H13</f>
        <v>GST</v>
      </c>
      <c r="U13" s="26" t="str">
        <f>+I13</f>
        <v>OL/SL</v>
      </c>
      <c r="V13" s="26"/>
      <c r="W13" s="26"/>
      <c r="X13" s="26"/>
      <c r="Y13" s="26"/>
      <c r="Z13" s="26"/>
    </row>
    <row r="14" spans="1:26" x14ac:dyDescent="0.25">
      <c r="A14" s="22"/>
      <c r="O14" s="21"/>
      <c r="P14" s="21"/>
      <c r="Q14" s="21"/>
      <c r="R14" s="21"/>
      <c r="S14" s="21"/>
      <c r="T14" s="21"/>
      <c r="U14" s="21"/>
      <c r="V14" s="21"/>
      <c r="W14" s="21"/>
      <c r="X14" s="21"/>
      <c r="Y14" s="21"/>
      <c r="Z14" s="21"/>
    </row>
    <row r="15" spans="1:26" x14ac:dyDescent="0.25">
      <c r="A15" s="22"/>
      <c r="B15" s="28" t="s">
        <v>1</v>
      </c>
      <c r="C15" s="29"/>
      <c r="D15" s="29"/>
      <c r="E15" s="154">
        <f>'BGS PTY16 Cost Alloc'!E15</f>
        <v>0.47970000000000002</v>
      </c>
      <c r="F15" s="154">
        <f>'BGS PTY16 Cost Alloc'!F15</f>
        <v>0.50180000000000002</v>
      </c>
      <c r="G15" s="154">
        <f>'BGS PTY16 Cost Alloc'!G15</f>
        <v>0.56210000000000004</v>
      </c>
      <c r="H15" s="154">
        <f>'BGS PTY16 Cost Alloc'!H15</f>
        <v>0.5423</v>
      </c>
      <c r="I15" s="154">
        <f>'BGS PTY16 Cost Alloc'!I15</f>
        <v>0.32979999999999998</v>
      </c>
      <c r="J15" s="29"/>
      <c r="K15" s="30"/>
      <c r="L15" s="30"/>
      <c r="M15" s="30"/>
      <c r="N15" s="31"/>
      <c r="O15" s="32"/>
      <c r="P15" s="32"/>
      <c r="Q15" s="32">
        <f t="shared" ref="Q15:U26" si="0">1-E15</f>
        <v>0.52029999999999998</v>
      </c>
      <c r="R15" s="32">
        <f t="shared" si="0"/>
        <v>0.49819999999999998</v>
      </c>
      <c r="S15" s="32">
        <f t="shared" si="0"/>
        <v>0.43789999999999996</v>
      </c>
      <c r="T15" s="32">
        <f t="shared" si="0"/>
        <v>0.4577</v>
      </c>
      <c r="U15" s="32">
        <f t="shared" si="0"/>
        <v>0.67020000000000002</v>
      </c>
      <c r="V15" s="32"/>
      <c r="W15" s="32"/>
      <c r="X15" s="32"/>
      <c r="Y15" s="32"/>
      <c r="Z15" s="32"/>
    </row>
    <row r="16" spans="1:26" x14ac:dyDescent="0.25">
      <c r="A16" s="22"/>
      <c r="B16" s="28" t="s">
        <v>2</v>
      </c>
      <c r="C16" s="29"/>
      <c r="D16" s="29"/>
      <c r="E16" s="154">
        <f>'BGS PTY16 Cost Alloc'!E16</f>
        <v>0.48659999999999998</v>
      </c>
      <c r="F16" s="154">
        <f>'BGS PTY16 Cost Alloc'!F16</f>
        <v>0.51459999999999995</v>
      </c>
      <c r="G16" s="154">
        <f>'BGS PTY16 Cost Alloc'!G16</f>
        <v>0.57640000000000002</v>
      </c>
      <c r="H16" s="154">
        <f>'BGS PTY16 Cost Alloc'!H16</f>
        <v>0.55569999999999997</v>
      </c>
      <c r="I16" s="154">
        <f>'BGS PTY16 Cost Alloc'!I16</f>
        <v>0.31480000000000002</v>
      </c>
      <c r="J16" s="29"/>
      <c r="K16" s="30"/>
      <c r="L16" s="30"/>
      <c r="M16" s="30"/>
      <c r="N16" s="31"/>
      <c r="O16" s="32"/>
      <c r="P16" s="32"/>
      <c r="Q16" s="32">
        <f t="shared" si="0"/>
        <v>0.51340000000000008</v>
      </c>
      <c r="R16" s="32">
        <f t="shared" si="0"/>
        <v>0.48540000000000005</v>
      </c>
      <c r="S16" s="32">
        <f t="shared" si="0"/>
        <v>0.42359999999999998</v>
      </c>
      <c r="T16" s="32">
        <f t="shared" si="0"/>
        <v>0.44430000000000003</v>
      </c>
      <c r="U16" s="32">
        <f t="shared" si="0"/>
        <v>0.68520000000000003</v>
      </c>
      <c r="V16" s="32"/>
      <c r="W16" s="32"/>
      <c r="X16" s="32"/>
      <c r="Y16" s="32"/>
      <c r="Z16" s="32"/>
    </row>
    <row r="17" spans="1:26" x14ac:dyDescent="0.25">
      <c r="A17" s="22"/>
      <c r="B17" s="28" t="s">
        <v>3</v>
      </c>
      <c r="C17" s="29"/>
      <c r="D17" s="29"/>
      <c r="E17" s="154">
        <f>'BGS PTY16 Cost Alloc'!E17</f>
        <v>0.48380000000000001</v>
      </c>
      <c r="F17" s="154">
        <f>'BGS PTY16 Cost Alloc'!F17</f>
        <v>0.50480000000000003</v>
      </c>
      <c r="G17" s="154">
        <f>'BGS PTY16 Cost Alloc'!G17</f>
        <v>0.59109999999999996</v>
      </c>
      <c r="H17" s="154">
        <f>'BGS PTY16 Cost Alloc'!H17</f>
        <v>0.56059999999999999</v>
      </c>
      <c r="I17" s="154">
        <f>'BGS PTY16 Cost Alloc'!I17</f>
        <v>0.27829999999999999</v>
      </c>
      <c r="J17" s="29"/>
      <c r="K17" s="30"/>
      <c r="L17" s="30"/>
      <c r="M17" s="30"/>
      <c r="N17" s="31"/>
      <c r="O17" s="32"/>
      <c r="P17" s="32"/>
      <c r="Q17" s="32">
        <f t="shared" si="0"/>
        <v>0.51619999999999999</v>
      </c>
      <c r="R17" s="32">
        <f t="shared" si="0"/>
        <v>0.49519999999999997</v>
      </c>
      <c r="S17" s="32">
        <f t="shared" si="0"/>
        <v>0.40890000000000004</v>
      </c>
      <c r="T17" s="32">
        <f t="shared" si="0"/>
        <v>0.43940000000000001</v>
      </c>
      <c r="U17" s="32">
        <f t="shared" si="0"/>
        <v>0.72170000000000001</v>
      </c>
      <c r="V17" s="32"/>
      <c r="W17" s="32"/>
      <c r="X17" s="32"/>
      <c r="Y17" s="32"/>
      <c r="Z17" s="32"/>
    </row>
    <row r="18" spans="1:26" x14ac:dyDescent="0.25">
      <c r="A18" s="22"/>
      <c r="B18" s="28" t="s">
        <v>4</v>
      </c>
      <c r="C18" s="29"/>
      <c r="D18" s="29"/>
      <c r="E18" s="154">
        <f>'BGS PTY16 Cost Alloc'!E18</f>
        <v>0.49430000000000002</v>
      </c>
      <c r="F18" s="154">
        <f>'BGS PTY16 Cost Alloc'!F18</f>
        <v>0.5111</v>
      </c>
      <c r="G18" s="154">
        <f>'BGS PTY16 Cost Alloc'!G18</f>
        <v>0.60409999999999997</v>
      </c>
      <c r="H18" s="154">
        <f>'BGS PTY16 Cost Alloc'!H18</f>
        <v>0.58309999999999995</v>
      </c>
      <c r="I18" s="154">
        <f>'BGS PTY16 Cost Alloc'!I18</f>
        <v>0.25600000000000001</v>
      </c>
      <c r="J18" s="29"/>
      <c r="K18" s="30"/>
      <c r="L18" s="30"/>
      <c r="M18" s="30"/>
      <c r="N18" s="31"/>
      <c r="O18" s="32"/>
      <c r="P18" s="32"/>
      <c r="Q18" s="32">
        <f t="shared" si="0"/>
        <v>0.50570000000000004</v>
      </c>
      <c r="R18" s="32">
        <f t="shared" si="0"/>
        <v>0.4889</v>
      </c>
      <c r="S18" s="32">
        <f t="shared" si="0"/>
        <v>0.39590000000000003</v>
      </c>
      <c r="T18" s="32">
        <f t="shared" si="0"/>
        <v>0.41690000000000005</v>
      </c>
      <c r="U18" s="32">
        <f t="shared" si="0"/>
        <v>0.74399999999999999</v>
      </c>
      <c r="V18" s="32"/>
      <c r="W18" s="32"/>
      <c r="X18" s="32"/>
      <c r="Y18" s="32"/>
      <c r="Z18" s="32"/>
    </row>
    <row r="19" spans="1:26" x14ac:dyDescent="0.25">
      <c r="A19" s="22"/>
      <c r="B19" s="28" t="s">
        <v>5</v>
      </c>
      <c r="C19" s="29"/>
      <c r="D19" s="29"/>
      <c r="E19" s="154">
        <f>'BGS PTY16 Cost Alloc'!E19</f>
        <v>0.47299999999999998</v>
      </c>
      <c r="F19" s="154">
        <f>'BGS PTY16 Cost Alloc'!F19</f>
        <v>0.47810000000000002</v>
      </c>
      <c r="G19" s="154">
        <f>'BGS PTY16 Cost Alloc'!G19</f>
        <v>0.57969999999999999</v>
      </c>
      <c r="H19" s="154">
        <f>'BGS PTY16 Cost Alloc'!H19</f>
        <v>0.56679999999999997</v>
      </c>
      <c r="I19" s="154">
        <f>'BGS PTY16 Cost Alloc'!I19</f>
        <v>0.23760000000000001</v>
      </c>
      <c r="J19" s="29"/>
      <c r="K19" s="30"/>
      <c r="L19" s="30"/>
      <c r="M19" s="30"/>
      <c r="N19" s="31"/>
      <c r="O19" s="32"/>
      <c r="P19" s="32"/>
      <c r="Q19" s="32">
        <f t="shared" si="0"/>
        <v>0.52700000000000002</v>
      </c>
      <c r="R19" s="32">
        <f t="shared" si="0"/>
        <v>0.52190000000000003</v>
      </c>
      <c r="S19" s="32">
        <f t="shared" si="0"/>
        <v>0.42030000000000001</v>
      </c>
      <c r="T19" s="32">
        <f t="shared" si="0"/>
        <v>0.43320000000000003</v>
      </c>
      <c r="U19" s="32">
        <f t="shared" si="0"/>
        <v>0.76239999999999997</v>
      </c>
      <c r="V19" s="32"/>
      <c r="W19" s="32"/>
      <c r="X19" s="32"/>
      <c r="Y19" s="32"/>
      <c r="Z19" s="32"/>
    </row>
    <row r="20" spans="1:26" x14ac:dyDescent="0.25">
      <c r="A20" s="22"/>
      <c r="B20" s="187" t="s">
        <v>6</v>
      </c>
      <c r="C20" s="211"/>
      <c r="D20" s="211"/>
      <c r="E20" s="217">
        <f>'BGS PTY16 Cost Alloc'!E20</f>
        <v>0.53190000000000004</v>
      </c>
      <c r="F20" s="217">
        <f>'BGS PTY16 Cost Alloc'!F20</f>
        <v>0.53710000000000002</v>
      </c>
      <c r="G20" s="217">
        <f>'BGS PTY16 Cost Alloc'!G20</f>
        <v>0.59850000000000003</v>
      </c>
      <c r="H20" s="217">
        <f>'BGS PTY16 Cost Alloc'!H20</f>
        <v>0.59660000000000002</v>
      </c>
      <c r="I20" s="237">
        <f>'BGS PTY16 Cost Alloc'!I20</f>
        <v>0.2329</v>
      </c>
      <c r="J20" s="29"/>
      <c r="K20" s="30"/>
      <c r="L20" s="30"/>
      <c r="M20" s="30"/>
      <c r="N20" s="31"/>
      <c r="O20" s="32"/>
      <c r="P20" s="32"/>
      <c r="Q20" s="32">
        <f t="shared" si="0"/>
        <v>0.46809999999999996</v>
      </c>
      <c r="R20" s="32">
        <f t="shared" si="0"/>
        <v>0.46289999999999998</v>
      </c>
      <c r="S20" s="32">
        <f t="shared" si="0"/>
        <v>0.40149999999999997</v>
      </c>
      <c r="T20" s="32">
        <f t="shared" si="0"/>
        <v>0.40339999999999998</v>
      </c>
      <c r="U20" s="32">
        <f t="shared" si="0"/>
        <v>0.7671</v>
      </c>
      <c r="V20" s="32"/>
      <c r="W20" s="32"/>
      <c r="X20" s="32"/>
      <c r="Y20" s="32"/>
      <c r="Z20" s="32"/>
    </row>
    <row r="21" spans="1:26" x14ac:dyDescent="0.25">
      <c r="A21" s="22"/>
      <c r="B21" s="191" t="s">
        <v>7</v>
      </c>
      <c r="C21" s="181"/>
      <c r="D21" s="181"/>
      <c r="E21" s="210">
        <f>'BGS PTY16 Cost Alloc'!E21</f>
        <v>0.53</v>
      </c>
      <c r="F21" s="210">
        <f>'BGS PTY16 Cost Alloc'!F21</f>
        <v>0.52829999999999999</v>
      </c>
      <c r="G21" s="210">
        <f>'BGS PTY16 Cost Alloc'!G21</f>
        <v>0.59179999999999999</v>
      </c>
      <c r="H21" s="210">
        <f>'BGS PTY16 Cost Alloc'!H21</f>
        <v>0.58889999999999998</v>
      </c>
      <c r="I21" s="238">
        <f>'BGS PTY16 Cost Alloc'!I21</f>
        <v>0.2346</v>
      </c>
      <c r="J21" s="29"/>
      <c r="K21" s="30"/>
      <c r="L21" s="30"/>
      <c r="M21" s="30"/>
      <c r="N21" s="31"/>
      <c r="O21" s="32"/>
      <c r="P21" s="32"/>
      <c r="Q21" s="32">
        <f t="shared" si="0"/>
        <v>0.47</v>
      </c>
      <c r="R21" s="32">
        <f t="shared" si="0"/>
        <v>0.47170000000000001</v>
      </c>
      <c r="S21" s="32">
        <f t="shared" si="0"/>
        <v>0.40820000000000001</v>
      </c>
      <c r="T21" s="32">
        <f t="shared" si="0"/>
        <v>0.41110000000000002</v>
      </c>
      <c r="U21" s="32">
        <f t="shared" si="0"/>
        <v>0.76539999999999997</v>
      </c>
      <c r="V21" s="32"/>
      <c r="W21" s="32"/>
      <c r="X21" s="32"/>
      <c r="Y21" s="32"/>
      <c r="Z21" s="32"/>
    </row>
    <row r="22" spans="1:26" x14ac:dyDescent="0.25">
      <c r="A22" s="22"/>
      <c r="B22" s="191" t="s">
        <v>8</v>
      </c>
      <c r="C22" s="181"/>
      <c r="D22" s="181"/>
      <c r="E22" s="210">
        <f>'BGS PTY16 Cost Alloc'!E22</f>
        <v>0.51490000000000002</v>
      </c>
      <c r="F22" s="210">
        <f>'BGS PTY16 Cost Alloc'!F22</f>
        <v>0.51339999999999997</v>
      </c>
      <c r="G22" s="210">
        <f>'BGS PTY16 Cost Alloc'!G22</f>
        <v>0.58089999999999997</v>
      </c>
      <c r="H22" s="210">
        <f>'BGS PTY16 Cost Alloc'!H22</f>
        <v>0.57669999999999999</v>
      </c>
      <c r="I22" s="238">
        <f>'BGS PTY16 Cost Alloc'!I22</f>
        <v>0.2382</v>
      </c>
      <c r="J22" s="29"/>
      <c r="K22" s="30"/>
      <c r="L22" s="30"/>
      <c r="M22" s="30"/>
      <c r="N22" s="31"/>
      <c r="O22" s="32"/>
      <c r="P22" s="32"/>
      <c r="Q22" s="32">
        <f t="shared" si="0"/>
        <v>0.48509999999999998</v>
      </c>
      <c r="R22" s="32">
        <f t="shared" si="0"/>
        <v>0.48660000000000003</v>
      </c>
      <c r="S22" s="32">
        <f t="shared" si="0"/>
        <v>0.41910000000000003</v>
      </c>
      <c r="T22" s="32">
        <f t="shared" si="0"/>
        <v>0.42330000000000001</v>
      </c>
      <c r="U22" s="32">
        <f t="shared" si="0"/>
        <v>0.76180000000000003</v>
      </c>
      <c r="V22" s="32"/>
      <c r="W22" s="32"/>
      <c r="X22" s="32"/>
      <c r="Y22" s="32"/>
      <c r="Z22" s="32"/>
    </row>
    <row r="23" spans="1:26" x14ac:dyDescent="0.25">
      <c r="A23" s="22"/>
      <c r="B23" s="194" t="s">
        <v>9</v>
      </c>
      <c r="C23" s="212"/>
      <c r="D23" s="212"/>
      <c r="E23" s="224">
        <f>'BGS PTY16 Cost Alloc'!E23</f>
        <v>0.50439999999999996</v>
      </c>
      <c r="F23" s="224">
        <f>'BGS PTY16 Cost Alloc'!F23</f>
        <v>0.50629999999999997</v>
      </c>
      <c r="G23" s="224">
        <f>'BGS PTY16 Cost Alloc'!G23</f>
        <v>0.60260000000000002</v>
      </c>
      <c r="H23" s="224">
        <f>'BGS PTY16 Cost Alloc'!H23</f>
        <v>0.59319999999999995</v>
      </c>
      <c r="I23" s="239">
        <f>'BGS PTY16 Cost Alloc'!I23</f>
        <v>0.27110000000000001</v>
      </c>
      <c r="J23" s="29"/>
      <c r="K23" s="30"/>
      <c r="L23" s="30"/>
      <c r="M23" s="30"/>
      <c r="N23" s="31"/>
      <c r="O23" s="32"/>
      <c r="P23" s="32"/>
      <c r="Q23" s="32">
        <f t="shared" si="0"/>
        <v>0.49560000000000004</v>
      </c>
      <c r="R23" s="32">
        <f t="shared" si="0"/>
        <v>0.49370000000000003</v>
      </c>
      <c r="S23" s="32">
        <f t="shared" si="0"/>
        <v>0.39739999999999998</v>
      </c>
      <c r="T23" s="32">
        <f t="shared" si="0"/>
        <v>0.40680000000000005</v>
      </c>
      <c r="U23" s="32">
        <f t="shared" si="0"/>
        <v>0.72889999999999999</v>
      </c>
      <c r="V23" s="32"/>
      <c r="W23" s="32"/>
      <c r="X23" s="32"/>
      <c r="Y23" s="32"/>
      <c r="Z23" s="32"/>
    </row>
    <row r="24" spans="1:26" x14ac:dyDescent="0.25">
      <c r="A24" s="22"/>
      <c r="B24" s="28" t="s">
        <v>10</v>
      </c>
      <c r="C24" s="29"/>
      <c r="D24" s="29"/>
      <c r="E24" s="154">
        <f>'BGS PTY16 Cost Alloc'!E24</f>
        <v>0.48399999999999999</v>
      </c>
      <c r="F24" s="154">
        <f>'BGS PTY16 Cost Alloc'!F24</f>
        <v>0.50390000000000001</v>
      </c>
      <c r="G24" s="154">
        <f>'BGS PTY16 Cost Alloc'!G24</f>
        <v>0.59319999999999995</v>
      </c>
      <c r="H24" s="154">
        <f>'BGS PTY16 Cost Alloc'!H24</f>
        <v>0.5837</v>
      </c>
      <c r="I24" s="154">
        <f>'BGS PTY16 Cost Alloc'!I24</f>
        <v>0.28939999999999999</v>
      </c>
      <c r="J24" s="29"/>
      <c r="K24" s="30"/>
      <c r="L24" s="30"/>
      <c r="M24" s="30"/>
      <c r="N24" s="31"/>
      <c r="O24" s="32"/>
      <c r="P24" s="32"/>
      <c r="Q24" s="32">
        <f t="shared" si="0"/>
        <v>0.51600000000000001</v>
      </c>
      <c r="R24" s="32">
        <f t="shared" si="0"/>
        <v>0.49609999999999999</v>
      </c>
      <c r="S24" s="32">
        <f t="shared" si="0"/>
        <v>0.40680000000000005</v>
      </c>
      <c r="T24" s="32">
        <f t="shared" si="0"/>
        <v>0.4163</v>
      </c>
      <c r="U24" s="32">
        <f t="shared" si="0"/>
        <v>0.71060000000000001</v>
      </c>
      <c r="V24" s="32"/>
      <c r="W24" s="32"/>
      <c r="X24" s="32"/>
      <c r="Y24" s="32"/>
      <c r="Z24" s="32"/>
    </row>
    <row r="25" spans="1:26" x14ac:dyDescent="0.25">
      <c r="A25" s="22"/>
      <c r="B25" s="28" t="s">
        <v>11</v>
      </c>
      <c r="C25" s="29"/>
      <c r="D25" s="29"/>
      <c r="E25" s="154">
        <f>'BGS PTY16 Cost Alloc'!E25</f>
        <v>0.4516</v>
      </c>
      <c r="F25" s="154">
        <f>'BGS PTY16 Cost Alloc'!F25</f>
        <v>0.4839</v>
      </c>
      <c r="G25" s="154">
        <f>'BGS PTY16 Cost Alloc'!G25</f>
        <v>0.57120000000000004</v>
      </c>
      <c r="H25" s="154">
        <f>'BGS PTY16 Cost Alloc'!H25</f>
        <v>0.54800000000000004</v>
      </c>
      <c r="I25" s="154">
        <f>'BGS PTY16 Cost Alloc'!I25</f>
        <v>0.32469999999999999</v>
      </c>
      <c r="J25" s="29"/>
      <c r="K25" s="30"/>
      <c r="L25" s="30"/>
      <c r="M25" s="30"/>
      <c r="N25" s="31"/>
      <c r="O25" s="32"/>
      <c r="P25" s="32"/>
      <c r="Q25" s="32">
        <f t="shared" si="0"/>
        <v>0.5484</v>
      </c>
      <c r="R25" s="32">
        <f t="shared" si="0"/>
        <v>0.5161</v>
      </c>
      <c r="S25" s="32">
        <f t="shared" si="0"/>
        <v>0.42879999999999996</v>
      </c>
      <c r="T25" s="32">
        <f t="shared" si="0"/>
        <v>0.45199999999999996</v>
      </c>
      <c r="U25" s="32">
        <f t="shared" si="0"/>
        <v>0.67530000000000001</v>
      </c>
      <c r="V25" s="32"/>
      <c r="W25" s="32"/>
      <c r="X25" s="32"/>
      <c r="Y25" s="32"/>
      <c r="Z25" s="32"/>
    </row>
    <row r="26" spans="1:26" x14ac:dyDescent="0.25">
      <c r="A26" s="22"/>
      <c r="B26" s="28" t="s">
        <v>12</v>
      </c>
      <c r="C26" s="29"/>
      <c r="D26" s="29"/>
      <c r="E26" s="154">
        <f>'BGS PTY16 Cost Alloc'!E26</f>
        <v>0.4889</v>
      </c>
      <c r="F26" s="154">
        <f>'BGS PTY16 Cost Alloc'!F26</f>
        <v>0.51090000000000002</v>
      </c>
      <c r="G26" s="154">
        <f>'BGS PTY16 Cost Alloc'!G26</f>
        <v>0.57969999999999999</v>
      </c>
      <c r="H26" s="154">
        <f>'BGS PTY16 Cost Alloc'!H26</f>
        <v>0.55740000000000001</v>
      </c>
      <c r="I26" s="154">
        <f>'BGS PTY16 Cost Alloc'!I26</f>
        <v>0.3458</v>
      </c>
      <c r="J26" s="29"/>
      <c r="K26" s="30"/>
      <c r="L26" s="30"/>
      <c r="M26" s="30"/>
      <c r="N26" s="31"/>
      <c r="O26" s="32"/>
      <c r="P26" s="32"/>
      <c r="Q26" s="32">
        <f t="shared" si="0"/>
        <v>0.5111</v>
      </c>
      <c r="R26" s="32">
        <f t="shared" si="0"/>
        <v>0.48909999999999998</v>
      </c>
      <c r="S26" s="32">
        <f t="shared" si="0"/>
        <v>0.42030000000000001</v>
      </c>
      <c r="T26" s="32">
        <f t="shared" si="0"/>
        <v>0.44259999999999999</v>
      </c>
      <c r="U26" s="32">
        <f t="shared" si="0"/>
        <v>0.6542</v>
      </c>
      <c r="V26" s="32"/>
      <c r="W26" s="32"/>
      <c r="X26" s="32"/>
      <c r="Y26" s="32"/>
      <c r="Z26" s="32"/>
    </row>
    <row r="27" spans="1:26" x14ac:dyDescent="0.25">
      <c r="A27" s="22"/>
      <c r="B27" s="28"/>
      <c r="C27" s="31"/>
      <c r="D27" s="31"/>
      <c r="E27" s="31"/>
      <c r="F27" s="31"/>
      <c r="G27" s="31"/>
      <c r="H27" s="31"/>
      <c r="I27" s="33"/>
      <c r="J27" s="33"/>
      <c r="K27" s="31"/>
      <c r="L27" s="31"/>
      <c r="M27" s="31"/>
      <c r="N27" s="31"/>
      <c r="O27" s="32"/>
      <c r="P27" s="32"/>
      <c r="Q27" s="32"/>
      <c r="R27" s="32"/>
      <c r="S27" s="32"/>
      <c r="T27" s="32"/>
      <c r="U27" s="32"/>
      <c r="V27" s="32"/>
      <c r="W27" s="32"/>
      <c r="X27" s="32"/>
      <c r="Y27" s="32"/>
      <c r="Z27" s="32"/>
    </row>
    <row r="28" spans="1:26" x14ac:dyDescent="0.25">
      <c r="A28" s="22"/>
      <c r="B28" s="28"/>
      <c r="C28" s="31"/>
      <c r="D28" s="31"/>
      <c r="E28" s="31"/>
      <c r="F28" s="31"/>
      <c r="G28" s="31"/>
      <c r="H28" s="31"/>
      <c r="I28" s="33"/>
      <c r="J28" s="33"/>
      <c r="K28" s="31"/>
      <c r="L28" s="31"/>
      <c r="M28" s="31"/>
      <c r="N28" s="31"/>
      <c r="O28" s="32"/>
      <c r="P28" s="32"/>
      <c r="Q28" s="32"/>
      <c r="R28" s="32"/>
      <c r="S28" s="32"/>
      <c r="T28" s="32"/>
      <c r="U28" s="32"/>
      <c r="V28" s="32"/>
      <c r="W28" s="32"/>
      <c r="X28" s="32"/>
      <c r="Y28" s="32"/>
      <c r="Z28" s="32"/>
    </row>
    <row r="29" spans="1:26" x14ac:dyDescent="0.25">
      <c r="A29" s="18" t="s">
        <v>31</v>
      </c>
      <c r="B29" s="19" t="s">
        <v>57</v>
      </c>
      <c r="C29" s="31"/>
      <c r="D29" s="31"/>
      <c r="E29" s="31"/>
      <c r="F29" s="34" t="s">
        <v>46</v>
      </c>
      <c r="G29" s="31"/>
      <c r="H29" s="31"/>
      <c r="I29" s="33"/>
      <c r="J29" s="33"/>
      <c r="K29" s="31"/>
      <c r="L29" s="31"/>
      <c r="M29" s="31"/>
      <c r="N29" s="31"/>
      <c r="O29" s="32"/>
      <c r="P29" s="32"/>
      <c r="Q29" s="32"/>
      <c r="R29" s="32"/>
      <c r="S29" s="32"/>
      <c r="T29" s="32"/>
      <c r="U29" s="32"/>
      <c r="V29" s="32"/>
      <c r="W29" s="32"/>
      <c r="X29" s="32"/>
      <c r="Y29" s="32"/>
      <c r="Z29" s="32"/>
    </row>
    <row r="30" spans="1:26" ht="53.25" customHeight="1" x14ac:dyDescent="0.25">
      <c r="A30" s="22"/>
      <c r="C30" s="23"/>
      <c r="D30" s="23"/>
      <c r="E30" s="23" t="str">
        <f>'BGS PTY16 Cost Alloc'!$E$30</f>
        <v>2017 Forecasted Calendar Month Sales</v>
      </c>
      <c r="F30" s="23" t="s">
        <v>39</v>
      </c>
      <c r="G30" s="23" t="s">
        <v>39</v>
      </c>
      <c r="H30" s="23" t="str">
        <f>'BGS PTY16 Cost Alloc'!$E$30</f>
        <v>2017 Forecasted Calendar Month Sales</v>
      </c>
      <c r="I30" s="23" t="s">
        <v>39</v>
      </c>
      <c r="J30" s="23"/>
      <c r="K30" s="23"/>
      <c r="L30" s="23"/>
      <c r="M30" s="23"/>
      <c r="N30" s="17"/>
      <c r="O30" s="23"/>
      <c r="P30" s="23"/>
      <c r="Q30" s="23" t="str">
        <f>'BGS PTY16 Cost Alloc'!Q30</f>
        <v>2017 Forecasted Calendar Month Sales</v>
      </c>
      <c r="R30" s="23" t="s">
        <v>39</v>
      </c>
      <c r="S30" s="23" t="s">
        <v>39</v>
      </c>
      <c r="T30" s="23" t="str">
        <f>'BGS PTY16 Cost Alloc'!T30</f>
        <v>2017 Forecasted Calendar Month Sales</v>
      </c>
      <c r="U30" s="23" t="s">
        <v>39</v>
      </c>
      <c r="V30" s="23"/>
      <c r="W30" s="23"/>
      <c r="X30" s="23"/>
      <c r="Y30" s="23"/>
      <c r="Z30" s="23"/>
    </row>
    <row r="31" spans="1:26" x14ac:dyDescent="0.25">
      <c r="A31" s="22"/>
      <c r="B31" s="24" t="s">
        <v>190</v>
      </c>
      <c r="C31" s="26"/>
      <c r="D31" s="26"/>
      <c r="E31" s="26" t="str">
        <f>+E$13</f>
        <v>RT{1}</v>
      </c>
      <c r="F31" s="26" t="str">
        <f>+F$13</f>
        <v>RS{2}</v>
      </c>
      <c r="G31" s="26" t="str">
        <f>+G$13</f>
        <v>GS{3}</v>
      </c>
      <c r="H31" s="26" t="str">
        <f>+H$13</f>
        <v>GST</v>
      </c>
      <c r="I31" s="26" t="str">
        <f>+I$13</f>
        <v>OL/SL</v>
      </c>
      <c r="J31" s="26"/>
      <c r="K31" s="26"/>
      <c r="L31" s="26"/>
      <c r="M31" s="26"/>
      <c r="N31" s="27"/>
      <c r="O31" s="26"/>
      <c r="P31" s="26"/>
      <c r="Q31" s="26" t="str">
        <f>+Q$13</f>
        <v>RT{1}</v>
      </c>
      <c r="R31" s="26" t="str">
        <f>+R$13</f>
        <v>RS{2}</v>
      </c>
      <c r="S31" s="26" t="str">
        <f>+S$13</f>
        <v>GS{3}</v>
      </c>
      <c r="T31" s="26" t="str">
        <f>+T$13</f>
        <v>GST</v>
      </c>
      <c r="U31" s="26" t="str">
        <f>+U$13</f>
        <v>OL/SL</v>
      </c>
      <c r="V31" s="26"/>
      <c r="W31" s="26"/>
      <c r="X31" s="26"/>
      <c r="Y31" s="26"/>
      <c r="Z31" s="26"/>
    </row>
    <row r="32" spans="1:26" x14ac:dyDescent="0.25">
      <c r="A32" s="22"/>
      <c r="O32" s="21"/>
      <c r="P32" s="21"/>
      <c r="Q32" s="21"/>
      <c r="R32" s="21"/>
      <c r="S32" s="21"/>
      <c r="T32" s="21"/>
      <c r="U32" s="21"/>
      <c r="V32" s="21"/>
      <c r="W32" s="21"/>
      <c r="X32" s="21"/>
      <c r="Y32" s="21"/>
      <c r="Z32" s="21"/>
    </row>
    <row r="33" spans="1:26" x14ac:dyDescent="0.25">
      <c r="A33" s="22"/>
      <c r="B33" s="28" t="s">
        <v>1</v>
      </c>
      <c r="C33" s="35"/>
      <c r="D33" s="136"/>
      <c r="E33" s="154">
        <f>'BGS PTY16 Cost Alloc'!E33</f>
        <v>0.3584</v>
      </c>
      <c r="F33" s="157" t="s">
        <v>40</v>
      </c>
      <c r="G33" s="157" t="s">
        <v>40</v>
      </c>
      <c r="H33" s="154">
        <f>'BGS PTY16 Cost Alloc'!H33</f>
        <v>0.42409999999999998</v>
      </c>
      <c r="I33" s="157" t="s">
        <v>40</v>
      </c>
      <c r="J33" s="35"/>
      <c r="K33" s="35"/>
      <c r="L33" s="31"/>
      <c r="M33" s="30"/>
      <c r="N33" s="31"/>
      <c r="O33" s="32"/>
      <c r="P33" s="32"/>
      <c r="Q33" s="32">
        <f t="shared" ref="Q33:Q44" si="1">1-E33</f>
        <v>0.64159999999999995</v>
      </c>
      <c r="R33" s="32"/>
      <c r="S33" s="32"/>
      <c r="T33" s="32">
        <f t="shared" ref="T33:T44" si="2">1-H33</f>
        <v>0.57590000000000008</v>
      </c>
      <c r="U33" s="32"/>
      <c r="V33" s="32"/>
      <c r="W33" s="32"/>
      <c r="X33" s="32"/>
      <c r="Y33" s="32"/>
      <c r="Z33" s="32"/>
    </row>
    <row r="34" spans="1:26" x14ac:dyDescent="0.25">
      <c r="A34" s="22"/>
      <c r="B34" s="28" t="s">
        <v>2</v>
      </c>
      <c r="C34" s="35"/>
      <c r="D34" s="136"/>
      <c r="E34" s="154">
        <f>'BGS PTY16 Cost Alloc'!E34</f>
        <v>0.35410000000000003</v>
      </c>
      <c r="F34" s="157" t="s">
        <v>40</v>
      </c>
      <c r="G34" s="157" t="s">
        <v>40</v>
      </c>
      <c r="H34" s="154">
        <f>'BGS PTY16 Cost Alloc'!H34</f>
        <v>0.42849999999999999</v>
      </c>
      <c r="I34" s="157" t="s">
        <v>40</v>
      </c>
      <c r="J34" s="35"/>
      <c r="K34" s="35"/>
      <c r="L34" s="31"/>
      <c r="M34" s="30"/>
      <c r="N34" s="31"/>
      <c r="O34" s="32"/>
      <c r="P34" s="32"/>
      <c r="Q34" s="32">
        <f t="shared" si="1"/>
        <v>0.64589999999999992</v>
      </c>
      <c r="R34" s="32"/>
      <c r="S34" s="32"/>
      <c r="T34" s="32">
        <f t="shared" si="2"/>
        <v>0.57150000000000001</v>
      </c>
      <c r="U34" s="32"/>
      <c r="V34" s="32"/>
      <c r="W34" s="32"/>
      <c r="X34" s="32"/>
      <c r="Y34" s="32"/>
      <c r="Z34" s="32"/>
    </row>
    <row r="35" spans="1:26" x14ac:dyDescent="0.25">
      <c r="A35" s="22"/>
      <c r="B35" s="28" t="s">
        <v>3</v>
      </c>
      <c r="C35" s="35"/>
      <c r="D35" s="136"/>
      <c r="E35" s="154">
        <f>'BGS PTY16 Cost Alloc'!E35</f>
        <v>0.3473</v>
      </c>
      <c r="F35" s="157" t="s">
        <v>40</v>
      </c>
      <c r="G35" s="157" t="s">
        <v>40</v>
      </c>
      <c r="H35" s="154">
        <f>'BGS PTY16 Cost Alloc'!H35</f>
        <v>0.42820000000000003</v>
      </c>
      <c r="I35" s="157" t="s">
        <v>40</v>
      </c>
      <c r="J35" s="35"/>
      <c r="K35" s="35"/>
      <c r="L35" s="31"/>
      <c r="M35" s="30"/>
      <c r="N35" s="31"/>
      <c r="O35" s="32"/>
      <c r="P35" s="32"/>
      <c r="Q35" s="32">
        <f t="shared" si="1"/>
        <v>0.65270000000000006</v>
      </c>
      <c r="R35" s="32"/>
      <c r="S35" s="32"/>
      <c r="T35" s="32">
        <f t="shared" si="2"/>
        <v>0.57179999999999997</v>
      </c>
      <c r="U35" s="32"/>
      <c r="V35" s="32"/>
      <c r="W35" s="32"/>
      <c r="X35" s="32"/>
      <c r="Y35" s="32"/>
      <c r="Z35" s="32"/>
    </row>
    <row r="36" spans="1:26" x14ac:dyDescent="0.25">
      <c r="A36" s="22"/>
      <c r="B36" s="28" t="s">
        <v>4</v>
      </c>
      <c r="C36" s="35"/>
      <c r="D36" s="136"/>
      <c r="E36" s="154">
        <f>'BGS PTY16 Cost Alloc'!E36</f>
        <v>0.3468</v>
      </c>
      <c r="F36" s="157" t="s">
        <v>40</v>
      </c>
      <c r="G36" s="157" t="s">
        <v>40</v>
      </c>
      <c r="H36" s="154">
        <f>'BGS PTY16 Cost Alloc'!H36</f>
        <v>0.44019999999999998</v>
      </c>
      <c r="I36" s="157" t="s">
        <v>40</v>
      </c>
      <c r="J36" s="35"/>
      <c r="K36" s="35"/>
      <c r="L36" s="31"/>
      <c r="M36" s="30"/>
      <c r="N36" s="31"/>
      <c r="O36" s="32"/>
      <c r="P36" s="32"/>
      <c r="Q36" s="32">
        <f t="shared" si="1"/>
        <v>0.6532</v>
      </c>
      <c r="R36" s="32"/>
      <c r="S36" s="32"/>
      <c r="T36" s="32">
        <f t="shared" si="2"/>
        <v>0.55980000000000008</v>
      </c>
      <c r="U36" s="32"/>
      <c r="V36" s="32"/>
      <c r="W36" s="32"/>
      <c r="X36" s="32"/>
      <c r="Y36" s="32"/>
      <c r="Z36" s="32"/>
    </row>
    <row r="37" spans="1:26" x14ac:dyDescent="0.25">
      <c r="A37" s="22"/>
      <c r="B37" s="28" t="s">
        <v>5</v>
      </c>
      <c r="C37" s="35"/>
      <c r="D37" s="136"/>
      <c r="E37" s="154">
        <f>'BGS PTY16 Cost Alloc'!E37</f>
        <v>0.3669</v>
      </c>
      <c r="F37" s="157" t="s">
        <v>40</v>
      </c>
      <c r="G37" s="157" t="s">
        <v>40</v>
      </c>
      <c r="H37" s="154">
        <f>'BGS PTY16 Cost Alloc'!H37</f>
        <v>0.4551</v>
      </c>
      <c r="I37" s="157" t="s">
        <v>40</v>
      </c>
      <c r="J37" s="35"/>
      <c r="K37" s="35"/>
      <c r="L37" s="31"/>
      <c r="M37" s="30"/>
      <c r="N37" s="31"/>
      <c r="O37" s="32"/>
      <c r="P37" s="32"/>
      <c r="Q37" s="32">
        <f t="shared" si="1"/>
        <v>0.6331</v>
      </c>
      <c r="R37" s="32"/>
      <c r="S37" s="32"/>
      <c r="T37" s="32">
        <f t="shared" si="2"/>
        <v>0.54489999999999994</v>
      </c>
      <c r="U37" s="32"/>
      <c r="V37" s="32"/>
      <c r="W37" s="32"/>
      <c r="X37" s="32"/>
      <c r="Y37" s="32"/>
      <c r="Z37" s="32"/>
    </row>
    <row r="38" spans="1:26" x14ac:dyDescent="0.25">
      <c r="A38" s="22"/>
      <c r="B38" s="28" t="s">
        <v>6</v>
      </c>
      <c r="C38" s="35"/>
      <c r="D38" s="136"/>
      <c r="E38" s="154">
        <f>'BGS PTY16 Cost Alloc'!E38</f>
        <v>0.3992</v>
      </c>
      <c r="F38" s="157" t="s">
        <v>40</v>
      </c>
      <c r="G38" s="157" t="s">
        <v>40</v>
      </c>
      <c r="H38" s="154">
        <f>'BGS PTY16 Cost Alloc'!H38</f>
        <v>0.46310000000000001</v>
      </c>
      <c r="I38" s="157" t="s">
        <v>40</v>
      </c>
      <c r="J38" s="35"/>
      <c r="K38" s="35"/>
      <c r="L38" s="31"/>
      <c r="M38" s="30"/>
      <c r="N38" s="31"/>
      <c r="O38" s="32"/>
      <c r="P38" s="32"/>
      <c r="Q38" s="32">
        <f t="shared" si="1"/>
        <v>0.6008</v>
      </c>
      <c r="R38" s="32"/>
      <c r="S38" s="32"/>
      <c r="T38" s="32">
        <f t="shared" si="2"/>
        <v>0.53689999999999993</v>
      </c>
      <c r="U38" s="32"/>
      <c r="V38" s="32"/>
      <c r="W38" s="32"/>
      <c r="X38" s="32"/>
      <c r="Y38" s="32"/>
      <c r="Z38" s="32"/>
    </row>
    <row r="39" spans="1:26" x14ac:dyDescent="0.25">
      <c r="A39" s="22"/>
      <c r="B39" s="28" t="s">
        <v>7</v>
      </c>
      <c r="C39" s="35"/>
      <c r="D39" s="136"/>
      <c r="E39" s="154">
        <f>'BGS PTY16 Cost Alloc'!E39</f>
        <v>0.41589999999999999</v>
      </c>
      <c r="F39" s="157" t="s">
        <v>40</v>
      </c>
      <c r="G39" s="157" t="s">
        <v>40</v>
      </c>
      <c r="H39" s="154">
        <f>'BGS PTY16 Cost Alloc'!H39</f>
        <v>0.47170000000000001</v>
      </c>
      <c r="I39" s="157" t="s">
        <v>40</v>
      </c>
      <c r="J39" s="35"/>
      <c r="K39" s="35"/>
      <c r="L39" s="31"/>
      <c r="M39" s="30"/>
      <c r="N39" s="31"/>
      <c r="O39" s="32"/>
      <c r="P39" s="32"/>
      <c r="Q39" s="32">
        <f t="shared" si="1"/>
        <v>0.58410000000000006</v>
      </c>
      <c r="R39" s="32"/>
      <c r="S39" s="32"/>
      <c r="T39" s="32">
        <f t="shared" si="2"/>
        <v>0.52829999999999999</v>
      </c>
      <c r="U39" s="32"/>
      <c r="V39" s="32"/>
      <c r="W39" s="32"/>
      <c r="X39" s="32"/>
      <c r="Y39" s="32"/>
      <c r="Z39" s="32"/>
    </row>
    <row r="40" spans="1:26" x14ac:dyDescent="0.25">
      <c r="A40" s="22"/>
      <c r="B40" s="28" t="s">
        <v>8</v>
      </c>
      <c r="C40" s="35"/>
      <c r="D40" s="136"/>
      <c r="E40" s="154">
        <f>'BGS PTY16 Cost Alloc'!E40</f>
        <v>0.41589999999999999</v>
      </c>
      <c r="F40" s="157" t="s">
        <v>40</v>
      </c>
      <c r="G40" s="157" t="s">
        <v>40</v>
      </c>
      <c r="H40" s="154">
        <f>'BGS PTY16 Cost Alloc'!H40</f>
        <v>0.4662</v>
      </c>
      <c r="I40" s="157" t="s">
        <v>40</v>
      </c>
      <c r="J40" s="35"/>
      <c r="K40" s="35"/>
      <c r="L40" s="31"/>
      <c r="M40" s="30"/>
      <c r="N40" s="31"/>
      <c r="O40" s="32"/>
      <c r="P40" s="32"/>
      <c r="Q40" s="32">
        <f t="shared" si="1"/>
        <v>0.58410000000000006</v>
      </c>
      <c r="R40" s="32"/>
      <c r="S40" s="32"/>
      <c r="T40" s="32">
        <f t="shared" si="2"/>
        <v>0.53380000000000005</v>
      </c>
      <c r="U40" s="32"/>
      <c r="V40" s="32"/>
      <c r="W40" s="32"/>
      <c r="X40" s="32"/>
      <c r="Y40" s="32"/>
      <c r="Z40" s="32"/>
    </row>
    <row r="41" spans="1:26" x14ac:dyDescent="0.25">
      <c r="A41" s="22"/>
      <c r="B41" s="28" t="s">
        <v>9</v>
      </c>
      <c r="C41" s="35"/>
      <c r="D41" s="136"/>
      <c r="E41" s="154">
        <f>'BGS PTY16 Cost Alloc'!E41</f>
        <v>0.4007</v>
      </c>
      <c r="F41" s="157" t="s">
        <v>40</v>
      </c>
      <c r="G41" s="157" t="s">
        <v>40</v>
      </c>
      <c r="H41" s="154">
        <f>'BGS PTY16 Cost Alloc'!H41</f>
        <v>0.46100000000000002</v>
      </c>
      <c r="I41" s="157" t="s">
        <v>40</v>
      </c>
      <c r="J41" s="35"/>
      <c r="K41" s="35"/>
      <c r="L41" s="31"/>
      <c r="M41" s="30"/>
      <c r="N41" s="31"/>
      <c r="O41" s="32"/>
      <c r="P41" s="32"/>
      <c r="Q41" s="32">
        <f t="shared" si="1"/>
        <v>0.59929999999999994</v>
      </c>
      <c r="R41" s="32"/>
      <c r="S41" s="32"/>
      <c r="T41" s="32">
        <f t="shared" si="2"/>
        <v>0.53899999999999992</v>
      </c>
      <c r="U41" s="32"/>
      <c r="V41" s="32"/>
      <c r="W41" s="32"/>
      <c r="X41" s="32"/>
      <c r="Y41" s="32"/>
      <c r="Z41" s="32"/>
    </row>
    <row r="42" spans="1:26" x14ac:dyDescent="0.25">
      <c r="A42" s="22"/>
      <c r="B42" s="28" t="s">
        <v>10</v>
      </c>
      <c r="C42" s="35"/>
      <c r="D42" s="136"/>
      <c r="E42" s="154">
        <f>'BGS PTY16 Cost Alloc'!E42</f>
        <v>0.3664</v>
      </c>
      <c r="F42" s="157" t="s">
        <v>40</v>
      </c>
      <c r="G42" s="157" t="s">
        <v>40</v>
      </c>
      <c r="H42" s="154">
        <f>'BGS PTY16 Cost Alloc'!H42</f>
        <v>0.46050000000000002</v>
      </c>
      <c r="I42" s="157" t="s">
        <v>40</v>
      </c>
      <c r="J42" s="35"/>
      <c r="K42" s="35"/>
      <c r="L42" s="31"/>
      <c r="M42" s="30"/>
      <c r="N42" s="31"/>
      <c r="O42" s="32"/>
      <c r="P42" s="32"/>
      <c r="Q42" s="32">
        <f t="shared" si="1"/>
        <v>0.63359999999999994</v>
      </c>
      <c r="R42" s="32"/>
      <c r="S42" s="32"/>
      <c r="T42" s="32">
        <f t="shared" si="2"/>
        <v>0.53949999999999998</v>
      </c>
      <c r="U42" s="32"/>
      <c r="V42" s="32"/>
      <c r="W42" s="32"/>
      <c r="X42" s="32"/>
      <c r="Y42" s="32"/>
      <c r="Z42" s="32"/>
    </row>
    <row r="43" spans="1:26" x14ac:dyDescent="0.25">
      <c r="A43" s="22"/>
      <c r="B43" s="28" t="s">
        <v>11</v>
      </c>
      <c r="C43" s="35"/>
      <c r="D43" s="136"/>
      <c r="E43" s="154">
        <f>'BGS PTY16 Cost Alloc'!E43</f>
        <v>0.3518</v>
      </c>
      <c r="F43" s="157" t="s">
        <v>40</v>
      </c>
      <c r="G43" s="157" t="s">
        <v>40</v>
      </c>
      <c r="H43" s="154">
        <f>'BGS PTY16 Cost Alloc'!H43</f>
        <v>0.45450000000000002</v>
      </c>
      <c r="I43" s="157" t="s">
        <v>40</v>
      </c>
      <c r="J43" s="35"/>
      <c r="K43" s="35"/>
      <c r="L43" s="31"/>
      <c r="M43" s="30"/>
      <c r="N43" s="31"/>
      <c r="O43" s="32"/>
      <c r="P43" s="32"/>
      <c r="Q43" s="32">
        <f t="shared" si="1"/>
        <v>0.6482</v>
      </c>
      <c r="R43" s="32"/>
      <c r="S43" s="32"/>
      <c r="T43" s="32">
        <f t="shared" si="2"/>
        <v>0.54549999999999998</v>
      </c>
      <c r="U43" s="32"/>
      <c r="V43" s="32"/>
      <c r="W43" s="32"/>
      <c r="X43" s="32"/>
      <c r="Y43" s="32"/>
      <c r="Z43" s="32"/>
    </row>
    <row r="44" spans="1:26" x14ac:dyDescent="0.25">
      <c r="A44" s="22"/>
      <c r="B44" s="28" t="s">
        <v>12</v>
      </c>
      <c r="C44" s="35"/>
      <c r="D44" s="136"/>
      <c r="E44" s="154">
        <f>'BGS PTY16 Cost Alloc'!E44</f>
        <v>0.35589999999999999</v>
      </c>
      <c r="F44" s="157" t="s">
        <v>40</v>
      </c>
      <c r="G44" s="157" t="s">
        <v>40</v>
      </c>
      <c r="H44" s="154">
        <f>'BGS PTY16 Cost Alloc'!H44</f>
        <v>0.43369999999999997</v>
      </c>
      <c r="I44" s="157" t="s">
        <v>40</v>
      </c>
      <c r="J44" s="35"/>
      <c r="K44" s="35"/>
      <c r="L44" s="31"/>
      <c r="M44" s="30"/>
      <c r="N44" s="31"/>
      <c r="O44" s="32"/>
      <c r="P44" s="32"/>
      <c r="Q44" s="32">
        <f t="shared" si="1"/>
        <v>0.64410000000000001</v>
      </c>
      <c r="R44" s="32"/>
      <c r="S44" s="32"/>
      <c r="T44" s="32">
        <f t="shared" si="2"/>
        <v>0.56630000000000003</v>
      </c>
      <c r="U44" s="32"/>
      <c r="V44" s="32"/>
      <c r="W44" s="32"/>
      <c r="X44" s="32"/>
      <c r="Y44" s="32"/>
      <c r="Z44" s="32"/>
    </row>
    <row r="45" spans="1:26" x14ac:dyDescent="0.25">
      <c r="A45" s="22"/>
      <c r="B45" s="28"/>
      <c r="C45" s="35"/>
      <c r="D45" s="35"/>
      <c r="E45" s="35"/>
      <c r="F45" s="35"/>
      <c r="G45" s="35"/>
      <c r="H45" s="35"/>
      <c r="I45" s="35"/>
      <c r="J45" s="35"/>
      <c r="K45" s="35"/>
      <c r="L45" s="31"/>
      <c r="M45" s="30"/>
      <c r="N45" s="31"/>
      <c r="O45" s="32"/>
      <c r="P45" s="32"/>
      <c r="Q45" s="32"/>
      <c r="R45" s="32"/>
      <c r="S45" s="32"/>
      <c r="T45" s="32"/>
      <c r="U45" s="32"/>
      <c r="V45" s="32"/>
      <c r="W45" s="32"/>
      <c r="X45" s="32"/>
      <c r="Y45" s="32"/>
      <c r="Z45" s="32"/>
    </row>
    <row r="46" spans="1:26" x14ac:dyDescent="0.25">
      <c r="A46" s="22"/>
      <c r="B46" s="36" t="s">
        <v>202</v>
      </c>
      <c r="C46" s="35"/>
      <c r="D46" s="35"/>
      <c r="E46" s="35"/>
      <c r="F46" s="35"/>
      <c r="G46" s="35"/>
      <c r="H46" s="35"/>
      <c r="I46" s="35"/>
      <c r="J46" s="35"/>
      <c r="K46" s="35"/>
      <c r="L46" s="31"/>
      <c r="M46" s="30"/>
      <c r="N46" s="31"/>
      <c r="O46" s="32"/>
      <c r="P46" s="32"/>
      <c r="Q46" s="32"/>
      <c r="R46" s="32"/>
      <c r="S46" s="32"/>
      <c r="T46" s="32"/>
      <c r="U46" s="32"/>
      <c r="V46" s="32"/>
      <c r="W46" s="32"/>
      <c r="X46" s="32"/>
      <c r="Y46" s="32"/>
      <c r="Z46" s="32"/>
    </row>
    <row r="47" spans="1:26" x14ac:dyDescent="0.25">
      <c r="A47" s="22"/>
      <c r="B47" s="36" t="s">
        <v>213</v>
      </c>
      <c r="C47" s="31"/>
      <c r="D47" s="31"/>
      <c r="E47" s="31"/>
      <c r="F47" s="31"/>
      <c r="G47" s="31"/>
      <c r="H47" s="31"/>
      <c r="I47" s="33"/>
      <c r="J47" s="33"/>
      <c r="K47" s="31"/>
      <c r="L47" s="31"/>
      <c r="M47" s="31"/>
      <c r="N47" s="31"/>
      <c r="O47" s="32"/>
      <c r="P47" s="32"/>
      <c r="Q47" s="32"/>
      <c r="R47" s="32"/>
      <c r="S47" s="32"/>
      <c r="T47" s="32"/>
      <c r="U47" s="32"/>
      <c r="V47" s="32"/>
      <c r="W47" s="32"/>
      <c r="X47" s="32"/>
      <c r="Y47" s="32"/>
      <c r="Z47" s="32"/>
    </row>
    <row r="48" spans="1:26" x14ac:dyDescent="0.25">
      <c r="A48" s="22"/>
      <c r="B48" s="36" t="s">
        <v>66</v>
      </c>
      <c r="C48" s="31"/>
      <c r="D48" s="31"/>
      <c r="E48" s="31"/>
      <c r="F48" s="31"/>
      <c r="G48" s="31"/>
      <c r="H48" s="31"/>
      <c r="I48" s="33"/>
      <c r="J48" s="33"/>
      <c r="K48" s="31"/>
      <c r="L48" s="31"/>
      <c r="M48" s="31"/>
      <c r="N48" s="31"/>
      <c r="O48" s="32"/>
      <c r="P48" s="32"/>
      <c r="Q48" s="32"/>
      <c r="R48" s="32"/>
      <c r="S48" s="32"/>
      <c r="T48" s="32"/>
      <c r="U48" s="32"/>
      <c r="V48" s="32"/>
      <c r="W48" s="32"/>
      <c r="X48" s="32"/>
      <c r="Y48" s="32"/>
      <c r="Z48" s="32"/>
    </row>
    <row r="49" spans="1:33" x14ac:dyDescent="0.25">
      <c r="A49" s="22"/>
      <c r="B49" s="36" t="s">
        <v>67</v>
      </c>
      <c r="C49" s="31"/>
      <c r="D49" s="31"/>
      <c r="E49" s="31"/>
      <c r="F49" s="31"/>
      <c r="G49" s="31"/>
      <c r="H49" s="31"/>
      <c r="I49" s="33"/>
      <c r="J49" s="33"/>
      <c r="K49" s="31"/>
      <c r="L49" s="31"/>
      <c r="M49" s="31"/>
      <c r="N49" s="31"/>
      <c r="O49" s="32"/>
      <c r="P49" s="32"/>
      <c r="Q49" s="32"/>
      <c r="R49" s="32"/>
      <c r="S49" s="32"/>
      <c r="T49" s="32"/>
      <c r="U49" s="32"/>
      <c r="V49" s="32"/>
      <c r="W49" s="32"/>
      <c r="X49" s="32"/>
      <c r="Y49" s="32"/>
      <c r="Z49" s="32"/>
    </row>
    <row r="50" spans="1:33" x14ac:dyDescent="0.25">
      <c r="A50" s="22"/>
      <c r="B50" s="36" t="s">
        <v>68</v>
      </c>
      <c r="C50" s="31"/>
      <c r="D50" s="31"/>
      <c r="E50" s="31"/>
      <c r="F50" s="31"/>
      <c r="G50" s="31"/>
      <c r="H50" s="31"/>
      <c r="I50" s="33"/>
      <c r="J50" s="33"/>
      <c r="K50" s="31"/>
      <c r="L50" s="31"/>
      <c r="M50" s="31"/>
      <c r="N50" s="31"/>
      <c r="O50" s="32"/>
      <c r="P50" s="32"/>
      <c r="Q50" s="32"/>
      <c r="R50" s="32"/>
      <c r="S50" s="32"/>
      <c r="T50" s="32"/>
      <c r="U50" s="32"/>
      <c r="V50" s="32"/>
      <c r="W50" s="32"/>
      <c r="X50" s="32"/>
      <c r="Y50" s="32"/>
      <c r="Z50" s="32"/>
    </row>
    <row r="51" spans="1:33" x14ac:dyDescent="0.25">
      <c r="A51" s="22"/>
      <c r="B51" s="28"/>
      <c r="C51" s="31"/>
      <c r="D51" s="31"/>
      <c r="E51" s="31"/>
      <c r="F51" s="31"/>
      <c r="G51" s="31"/>
      <c r="H51" s="31"/>
      <c r="I51" s="33"/>
      <c r="J51" s="33"/>
      <c r="K51" s="31"/>
      <c r="L51" s="31"/>
      <c r="M51" s="31"/>
      <c r="N51" s="31"/>
      <c r="O51" s="32"/>
      <c r="P51" s="32"/>
      <c r="Q51" s="32"/>
      <c r="R51" s="32"/>
      <c r="S51" s="32"/>
      <c r="T51" s="32"/>
      <c r="U51" s="32"/>
      <c r="V51" s="32"/>
      <c r="W51" s="32"/>
      <c r="X51" s="32"/>
      <c r="Y51" s="32"/>
      <c r="Z51" s="32"/>
    </row>
    <row r="52" spans="1:33" ht="15.6" x14ac:dyDescent="0.3">
      <c r="A52" s="22"/>
      <c r="B52" s="534" t="str">
        <f>$B$1</f>
        <v xml:space="preserve">Jersey Central Power &amp; Light </v>
      </c>
      <c r="C52" s="534"/>
      <c r="D52" s="534"/>
      <c r="E52" s="534"/>
      <c r="F52" s="534"/>
      <c r="G52" s="534"/>
      <c r="H52" s="534"/>
      <c r="I52" s="534"/>
      <c r="J52" s="534"/>
      <c r="K52" s="534"/>
      <c r="L52" s="534"/>
      <c r="M52" s="31"/>
      <c r="N52" s="31"/>
      <c r="O52" s="32"/>
      <c r="P52" s="32"/>
      <c r="Q52" s="32"/>
      <c r="R52" s="32"/>
      <c r="S52" s="32"/>
      <c r="T52" s="32"/>
      <c r="U52" s="32"/>
      <c r="V52" s="32"/>
      <c r="W52" s="32"/>
      <c r="X52" s="32"/>
      <c r="Y52" s="32"/>
      <c r="Z52" s="32"/>
    </row>
    <row r="53" spans="1:33" ht="15.6" x14ac:dyDescent="0.3">
      <c r="A53" s="22"/>
      <c r="B53" s="534" t="str">
        <f>$B$2</f>
        <v>Attachment 2</v>
      </c>
      <c r="C53" s="534"/>
      <c r="D53" s="534"/>
      <c r="E53" s="534"/>
      <c r="F53" s="534"/>
      <c r="G53" s="534"/>
      <c r="H53" s="534"/>
      <c r="I53" s="534"/>
      <c r="J53" s="534"/>
      <c r="K53" s="534"/>
      <c r="L53" s="534"/>
      <c r="M53" s="31"/>
      <c r="N53" s="31"/>
      <c r="O53" s="32"/>
      <c r="P53" s="32"/>
      <c r="Q53" s="32"/>
      <c r="R53" s="32"/>
      <c r="S53" s="32"/>
      <c r="T53" s="32"/>
      <c r="U53" s="32"/>
      <c r="V53" s="32"/>
      <c r="W53" s="32"/>
      <c r="X53" s="32"/>
      <c r="Y53" s="32"/>
      <c r="Z53" s="32"/>
    </row>
    <row r="54" spans="1:33" x14ac:dyDescent="0.25">
      <c r="A54" s="22"/>
      <c r="B54" s="28"/>
      <c r="C54" s="31"/>
      <c r="D54" s="31"/>
      <c r="E54" s="31"/>
      <c r="F54" s="31"/>
      <c r="G54" s="31"/>
      <c r="H54" s="31"/>
      <c r="I54" s="33"/>
      <c r="J54" s="33"/>
      <c r="K54" s="31"/>
      <c r="L54" s="31"/>
      <c r="M54" s="31"/>
      <c r="N54" s="31"/>
      <c r="O54" s="32"/>
      <c r="P54" s="32"/>
      <c r="Q54" s="32"/>
      <c r="R54" s="32"/>
      <c r="S54" s="32"/>
      <c r="T54" s="32"/>
      <c r="U54" s="32"/>
      <c r="V54" s="32"/>
      <c r="W54" s="32"/>
      <c r="X54" s="32"/>
      <c r="Y54" s="32"/>
      <c r="Z54" s="32"/>
    </row>
    <row r="55" spans="1:33" x14ac:dyDescent="0.25">
      <c r="A55" s="22"/>
      <c r="B55" s="28"/>
      <c r="C55" s="31"/>
      <c r="D55" s="31"/>
      <c r="E55" s="31"/>
      <c r="F55" s="31"/>
      <c r="G55" s="31"/>
      <c r="H55" s="31"/>
      <c r="I55" s="33"/>
      <c r="J55" s="33"/>
      <c r="K55" s="31"/>
      <c r="L55" s="31"/>
      <c r="M55" s="31"/>
      <c r="N55" s="31"/>
      <c r="O55" s="32"/>
      <c r="P55" s="32"/>
      <c r="Q55" s="32"/>
      <c r="R55" s="32"/>
      <c r="S55" s="32"/>
      <c r="T55" s="32"/>
      <c r="U55" s="32"/>
      <c r="V55" s="32"/>
      <c r="W55" s="171" t="str">
        <f>'BGS PTY16 Cost Alloc'!Y55</f>
        <v>Forecast 2017 Delivery MWh</v>
      </c>
      <c r="X55" s="172"/>
      <c r="Y55" s="172"/>
      <c r="Z55" s="31"/>
    </row>
    <row r="56" spans="1:33" x14ac:dyDescent="0.25">
      <c r="A56" s="18" t="s">
        <v>36</v>
      </c>
      <c r="B56" s="37" t="s">
        <v>48</v>
      </c>
      <c r="E56" s="31"/>
      <c r="F56" s="31"/>
      <c r="G56" s="31"/>
      <c r="H56" s="31"/>
      <c r="I56" s="33"/>
      <c r="J56" s="33"/>
      <c r="O56" s="16"/>
      <c r="W56" s="16"/>
      <c r="X56" s="16"/>
      <c r="Z56" s="169" t="s">
        <v>252</v>
      </c>
    </row>
    <row r="57" spans="1:33" x14ac:dyDescent="0.25">
      <c r="A57" s="22"/>
      <c r="B57" s="39" t="str">
        <f>'BGS PTY16 Cost Alloc'!$B$57</f>
        <v>calendar month sales forecasted for 2017</v>
      </c>
      <c r="N57" s="40"/>
      <c r="O57" s="41"/>
      <c r="P57" s="41"/>
      <c r="Q57" s="41" t="s">
        <v>129</v>
      </c>
      <c r="R57" s="41"/>
      <c r="S57" s="41"/>
      <c r="T57" s="41"/>
      <c r="U57" s="42"/>
      <c r="W57" s="26" t="s">
        <v>13</v>
      </c>
    </row>
    <row r="58" spans="1:33" x14ac:dyDescent="0.25">
      <c r="A58" s="22"/>
      <c r="B58" s="17" t="s">
        <v>38</v>
      </c>
      <c r="C58" s="26"/>
      <c r="D58" s="26"/>
      <c r="E58" s="26" t="str">
        <f>+E$13</f>
        <v>RT{1}</v>
      </c>
      <c r="F58" s="26" t="str">
        <f>+F$13</f>
        <v>RS{2}</v>
      </c>
      <c r="G58" s="26" t="str">
        <f>+G$13</f>
        <v>GS{3}</v>
      </c>
      <c r="H58" s="26" t="s">
        <v>203</v>
      </c>
      <c r="I58" s="26" t="str">
        <f>+I$13</f>
        <v>OL/SL</v>
      </c>
      <c r="J58" s="26" t="s">
        <v>13</v>
      </c>
      <c r="K58" s="26"/>
      <c r="L58" s="26"/>
      <c r="M58" s="26" t="s">
        <v>179</v>
      </c>
      <c r="N58" s="43"/>
      <c r="O58" s="44"/>
      <c r="P58" s="44"/>
      <c r="Q58" s="26" t="str">
        <f>+Q$13</f>
        <v>RT{1}</v>
      </c>
      <c r="R58" s="26" t="str">
        <f>+R$13</f>
        <v>RS{2}</v>
      </c>
      <c r="S58" s="26" t="str">
        <f>+S$13</f>
        <v>GS{3}</v>
      </c>
      <c r="T58" s="26" t="str">
        <f>+T$13</f>
        <v>GST</v>
      </c>
      <c r="U58" s="45" t="str">
        <f>+U$13</f>
        <v>OL/SL</v>
      </c>
      <c r="V58" s="26"/>
      <c r="W58" s="26" t="s">
        <v>59</v>
      </c>
      <c r="X58" s="26" t="s">
        <v>64</v>
      </c>
      <c r="Y58" s="26" t="s">
        <v>63</v>
      </c>
      <c r="Z58" s="26" t="s">
        <v>60</v>
      </c>
      <c r="AA58" s="26" t="s">
        <v>52</v>
      </c>
      <c r="AB58" s="26" t="s">
        <v>0</v>
      </c>
      <c r="AC58" s="26" t="s">
        <v>53</v>
      </c>
      <c r="AD58" s="26" t="s">
        <v>53</v>
      </c>
      <c r="AG58" s="26" t="s">
        <v>54</v>
      </c>
    </row>
    <row r="59" spans="1:33" x14ac:dyDescent="0.25">
      <c r="A59" s="22"/>
      <c r="M59" s="16" t="s">
        <v>180</v>
      </c>
      <c r="N59" s="46"/>
      <c r="O59" s="47"/>
      <c r="P59" s="47"/>
      <c r="Q59" s="47"/>
      <c r="R59" s="47"/>
      <c r="S59" s="47"/>
      <c r="T59" s="47"/>
      <c r="U59" s="48"/>
    </row>
    <row r="60" spans="1:33" x14ac:dyDescent="0.25">
      <c r="A60" s="22"/>
      <c r="B60" s="28" t="s">
        <v>1</v>
      </c>
      <c r="C60" s="49"/>
      <c r="D60" s="49"/>
      <c r="E60" s="50">
        <f>'BGS PTY16 Cost Alloc'!E60</f>
        <v>26171</v>
      </c>
      <c r="F60" s="50">
        <f>'BGS PTY16 Cost Alloc'!F60</f>
        <v>784725</v>
      </c>
      <c r="G60" s="50">
        <f>'BGS PTY16 Cost Alloc'!G60</f>
        <v>516906</v>
      </c>
      <c r="H60" s="50">
        <f>'BGS PTY16 Cost Alloc'!H60</f>
        <v>13999</v>
      </c>
      <c r="I60" s="50">
        <f>'BGS PTY16 Cost Alloc'!I60</f>
        <v>9553</v>
      </c>
      <c r="J60" s="50">
        <f t="shared" ref="J60:J72" si="3">SUM(E60:I60)</f>
        <v>1351354</v>
      </c>
      <c r="K60" s="49"/>
      <c r="L60" s="49"/>
      <c r="M60" s="50">
        <f t="shared" ref="M60:M71" si="4">E60-ROUND(SUM($W60/1000),0)</f>
        <v>25608</v>
      </c>
      <c r="N60" s="51" t="s">
        <v>28</v>
      </c>
      <c r="O60" s="52"/>
      <c r="P60" s="53"/>
      <c r="Q60" s="53">
        <f>SUM(E60:E64,E69:E71)</f>
        <v>159889</v>
      </c>
      <c r="R60" s="53">
        <f>SUM(F60:F64,F69:F71)</f>
        <v>5157543</v>
      </c>
      <c r="S60" s="53">
        <f>SUM(G60:G64,G69:G71)</f>
        <v>3796476</v>
      </c>
      <c r="T60" s="53">
        <f>SUM(H60:H64,H69:H71)</f>
        <v>85407</v>
      </c>
      <c r="U60" s="54">
        <f>SUM(I60:I64,I69:I71)</f>
        <v>76214</v>
      </c>
      <c r="V60" s="170">
        <f>'BGS PTY16 Cost Alloc'!V60</f>
        <v>42736</v>
      </c>
      <c r="W60" s="50">
        <f>'BGS PTY16 Cost Alloc'!W60</f>
        <v>563224.15212279989</v>
      </c>
      <c r="X60" s="50">
        <f>'BGS PTY16 Cost Alloc'!X60</f>
        <v>5091.3203364000001</v>
      </c>
      <c r="Y60" s="55">
        <f t="shared" ref="Y60:Y71" si="5">W60-X60</f>
        <v>558132.83178639994</v>
      </c>
      <c r="Z60" s="50">
        <f>'BGS PTY16 Cost Alloc'!Z60</f>
        <v>2909026.0591469002</v>
      </c>
      <c r="AA60" s="50">
        <f>'BGS PTY16 Cost Alloc'!AA60</f>
        <v>25607.5306299972</v>
      </c>
      <c r="AB60" s="50">
        <f>'BGS PTY16 Cost Alloc'!AB60</f>
        <v>781816.44260680105</v>
      </c>
      <c r="AC60" s="50">
        <f>'BGS PTY16 Cost Alloc'!AC60</f>
        <v>516911.07241712499</v>
      </c>
      <c r="AD60" s="50">
        <f>'BGS PTY16 Cost Alloc'!AD60</f>
        <v>570015.582417125</v>
      </c>
      <c r="AG60" s="50">
        <f>'BGS PTY16 Cost Alloc'!AG60</f>
        <v>13998.864636318996</v>
      </c>
    </row>
    <row r="61" spans="1:33" x14ac:dyDescent="0.25">
      <c r="A61" s="22"/>
      <c r="B61" s="28" t="s">
        <v>2</v>
      </c>
      <c r="C61" s="49"/>
      <c r="D61" s="49"/>
      <c r="E61" s="50">
        <f>'BGS PTY16 Cost Alloc'!E61</f>
        <v>26904</v>
      </c>
      <c r="F61" s="50">
        <f>'BGS PTY16 Cost Alloc'!F61</f>
        <v>744046</v>
      </c>
      <c r="G61" s="50">
        <f>'BGS PTY16 Cost Alloc'!G61</f>
        <v>494196</v>
      </c>
      <c r="H61" s="50">
        <f>'BGS PTY16 Cost Alloc'!H61</f>
        <v>12248</v>
      </c>
      <c r="I61" s="50">
        <f>'BGS PTY16 Cost Alloc'!I61</f>
        <v>9547</v>
      </c>
      <c r="J61" s="50">
        <f t="shared" si="3"/>
        <v>1286941</v>
      </c>
      <c r="K61" s="49"/>
      <c r="L61" s="49"/>
      <c r="M61" s="50">
        <f t="shared" si="4"/>
        <v>26347</v>
      </c>
      <c r="N61" s="51"/>
      <c r="O61" s="52"/>
      <c r="P61" s="114" t="s">
        <v>193</v>
      </c>
      <c r="Q61" s="53">
        <f>SUMPRODUCT(E33:E37,M60:M64)+SUMPRODUCT(E42:E44,M69:M71)</f>
        <v>55263.197499999995</v>
      </c>
      <c r="R61" s="47"/>
      <c r="S61" s="132" t="s">
        <v>177</v>
      </c>
      <c r="T61" s="53">
        <f>SUMPRODUCT(H33:H37,H60:H64)+SUMPRODUCT(H42:H44,H69:H71)</f>
        <v>37452.340899999996</v>
      </c>
      <c r="U61" s="48">
        <f>T61/T60</f>
        <v>0.43851605723184278</v>
      </c>
      <c r="V61" s="170">
        <f>'BGS PTY16 Cost Alloc'!V61</f>
        <v>42767</v>
      </c>
      <c r="W61" s="50">
        <f>'BGS PTY16 Cost Alloc'!W61</f>
        <v>556619.33764169994</v>
      </c>
      <c r="X61" s="50">
        <f>'BGS PTY16 Cost Alloc'!X61</f>
        <v>5038.5629229999995</v>
      </c>
      <c r="Y61" s="55">
        <f t="shared" si="5"/>
        <v>551580.77471869998</v>
      </c>
      <c r="Z61" s="50">
        <f>'BGS PTY16 Cost Alloc'!Z61</f>
        <v>1861164.6516640999</v>
      </c>
      <c r="AA61" s="50">
        <f>'BGS PTY16 Cost Alloc'!AA61</f>
        <v>26346.7848500609</v>
      </c>
      <c r="AB61" s="50">
        <f>'BGS PTY16 Cost Alloc'!AB61</f>
        <v>742185.40249827504</v>
      </c>
      <c r="AC61" s="50">
        <f>'BGS PTY16 Cost Alloc'!AC61</f>
        <v>494200.51469542889</v>
      </c>
      <c r="AD61" s="50">
        <f>'BGS PTY16 Cost Alloc'!AD61</f>
        <v>548756.12069542892</v>
      </c>
      <c r="AG61" s="50">
        <f>'BGS PTY16 Cost Alloc'!AG61</f>
        <v>12248.231417547599</v>
      </c>
    </row>
    <row r="62" spans="1:33" x14ac:dyDescent="0.25">
      <c r="A62" s="22"/>
      <c r="B62" s="28" t="s">
        <v>3</v>
      </c>
      <c r="C62" s="49"/>
      <c r="D62" s="49"/>
      <c r="E62" s="50">
        <f>'BGS PTY16 Cost Alloc'!E62</f>
        <v>24655</v>
      </c>
      <c r="F62" s="50">
        <f>'BGS PTY16 Cost Alloc'!F62</f>
        <v>671272</v>
      </c>
      <c r="G62" s="50">
        <f>'BGS PTY16 Cost Alloc'!G62</f>
        <v>507438</v>
      </c>
      <c r="H62" s="50">
        <f>'BGS PTY16 Cost Alloc'!H62</f>
        <v>13393</v>
      </c>
      <c r="I62" s="50">
        <f>'BGS PTY16 Cost Alloc'!I62</f>
        <v>9542</v>
      </c>
      <c r="J62" s="50">
        <f t="shared" si="3"/>
        <v>1226300</v>
      </c>
      <c r="K62" s="49"/>
      <c r="L62" s="49"/>
      <c r="M62" s="50">
        <f t="shared" si="4"/>
        <v>24104</v>
      </c>
      <c r="N62" s="51"/>
      <c r="O62" s="52"/>
      <c r="P62" s="114" t="s">
        <v>194</v>
      </c>
      <c r="Q62" s="53">
        <f>SUMPRODUCT(Q33:Q37,M60:M64)+SUMPRODUCT(Q42:Q44,M69:M71)</f>
        <v>100381.80249999999</v>
      </c>
      <c r="R62" s="47"/>
      <c r="S62" s="132" t="s">
        <v>178</v>
      </c>
      <c r="T62" s="53">
        <f>+T60-T61</f>
        <v>47954.659100000004</v>
      </c>
      <c r="U62" s="48"/>
      <c r="V62" s="170">
        <f>'BGS PTY16 Cost Alloc'!V62</f>
        <v>42795</v>
      </c>
      <c r="W62" s="50">
        <f>'BGS PTY16 Cost Alloc'!W62</f>
        <v>550558.04975850007</v>
      </c>
      <c r="X62" s="50">
        <f>'BGS PTY16 Cost Alloc'!X62</f>
        <v>4987.4737877000007</v>
      </c>
      <c r="Y62" s="55">
        <f t="shared" si="5"/>
        <v>545570.57597080013</v>
      </c>
      <c r="Z62" s="50">
        <f>'BGS PTY16 Cost Alloc'!Z62</f>
        <v>1652183.1614411999</v>
      </c>
      <c r="AA62" s="50">
        <f>'BGS PTY16 Cost Alloc'!AA62</f>
        <v>24103.669767501899</v>
      </c>
      <c r="AB62" s="50">
        <f>'BGS PTY16 Cost Alloc'!AB62</f>
        <v>669620.43207105692</v>
      </c>
      <c r="AC62" s="50">
        <f>'BGS PTY16 Cost Alloc'!AC62</f>
        <v>507442.52060739906</v>
      </c>
      <c r="AD62" s="50">
        <f>'BGS PTY16 Cost Alloc'!AD62</f>
        <v>561437.65260739904</v>
      </c>
      <c r="AG62" s="50">
        <f>'BGS PTY16 Cost Alloc'!AG62</f>
        <v>13393.039994937002</v>
      </c>
    </row>
    <row r="63" spans="1:33" x14ac:dyDescent="0.25">
      <c r="A63" s="22"/>
      <c r="B63" s="28" t="s">
        <v>4</v>
      </c>
      <c r="C63" s="49"/>
      <c r="D63" s="49"/>
      <c r="E63" s="50">
        <f>'BGS PTY16 Cost Alloc'!E63</f>
        <v>19703</v>
      </c>
      <c r="F63" s="50">
        <f>'BGS PTY16 Cost Alloc'!F63</f>
        <v>582601</v>
      </c>
      <c r="G63" s="50">
        <f>'BGS PTY16 Cost Alloc'!G63</f>
        <v>473980</v>
      </c>
      <c r="H63" s="50">
        <f>'BGS PTY16 Cost Alloc'!H63</f>
        <v>11851</v>
      </c>
      <c r="I63" s="50">
        <f>'BGS PTY16 Cost Alloc'!I63</f>
        <v>9537</v>
      </c>
      <c r="J63" s="50">
        <f t="shared" si="3"/>
        <v>1097672</v>
      </c>
      <c r="K63" s="49"/>
      <c r="L63" s="49"/>
      <c r="M63" s="50">
        <f t="shared" si="4"/>
        <v>19159</v>
      </c>
      <c r="N63" s="46"/>
      <c r="O63" s="47"/>
      <c r="P63" s="114" t="s">
        <v>195</v>
      </c>
      <c r="Q63" s="53">
        <f>SUM(W60:W64,W69:W71)/1000</f>
        <v>4242.5729285309999</v>
      </c>
      <c r="R63" s="47"/>
      <c r="S63" s="47"/>
      <c r="T63" s="47"/>
      <c r="U63" s="48"/>
      <c r="V63" s="170">
        <f>'BGS PTY16 Cost Alloc'!V63</f>
        <v>42826</v>
      </c>
      <c r="W63" s="50">
        <f>'BGS PTY16 Cost Alloc'!W63</f>
        <v>543710.40642109991</v>
      </c>
      <c r="X63" s="50">
        <f>'BGS PTY16 Cost Alloc'!X63</f>
        <v>4956.9007151000005</v>
      </c>
      <c r="Y63" s="55">
        <f t="shared" si="5"/>
        <v>538753.50570599991</v>
      </c>
      <c r="Z63" s="50">
        <f>'BGS PTY16 Cost Alloc'!Z63</f>
        <v>1250289.7638385</v>
      </c>
      <c r="AA63" s="50">
        <f>'BGS PTY16 Cost Alloc'!AA63</f>
        <v>19158.762448837198</v>
      </c>
      <c r="AB63" s="50">
        <f>'BGS PTY16 Cost Alloc'!AB63</f>
        <v>581350.88578732498</v>
      </c>
      <c r="AC63" s="50">
        <f>'BGS PTY16 Cost Alloc'!AC63</f>
        <v>473984.69475001597</v>
      </c>
      <c r="AD63" s="50">
        <f>'BGS PTY16 Cost Alloc'!AD63</f>
        <v>526322.49175001599</v>
      </c>
      <c r="AG63" s="50">
        <f>'BGS PTY16 Cost Alloc'!AG63</f>
        <v>11851.337002867296</v>
      </c>
    </row>
    <row r="64" spans="1:33" x14ac:dyDescent="0.25">
      <c r="A64" s="22"/>
      <c r="B64" s="28" t="s">
        <v>5</v>
      </c>
      <c r="C64" s="49"/>
      <c r="D64" s="49"/>
      <c r="E64" s="50">
        <f>'BGS PTY16 Cost Alloc'!E64</f>
        <v>14894</v>
      </c>
      <c r="F64" s="50">
        <f>'BGS PTY16 Cost Alloc'!F64</f>
        <v>533514</v>
      </c>
      <c r="G64" s="50">
        <f>'BGS PTY16 Cost Alloc'!G64</f>
        <v>442958</v>
      </c>
      <c r="H64" s="50">
        <f>'BGS PTY16 Cost Alloc'!H64</f>
        <v>9679</v>
      </c>
      <c r="I64" s="50">
        <f>'BGS PTY16 Cost Alloc'!I64</f>
        <v>9532</v>
      </c>
      <c r="J64" s="50">
        <f t="shared" si="3"/>
        <v>1010577</v>
      </c>
      <c r="K64" s="49"/>
      <c r="L64" s="49"/>
      <c r="M64" s="50">
        <f t="shared" si="4"/>
        <v>14357</v>
      </c>
      <c r="N64" s="51" t="s">
        <v>29</v>
      </c>
      <c r="O64" s="52"/>
      <c r="P64" s="53"/>
      <c r="Q64" s="53">
        <f>+SUM(E65:E68)</f>
        <v>76190</v>
      </c>
      <c r="R64" s="53">
        <f>+SUM(F65:F68)</f>
        <v>3663523</v>
      </c>
      <c r="S64" s="53">
        <f>+SUM(G65:G68)</f>
        <v>2187580</v>
      </c>
      <c r="T64" s="53">
        <f>+SUM(H65:H68)</f>
        <v>32616</v>
      </c>
      <c r="U64" s="54">
        <f>+SUM(I65:I68)</f>
        <v>38075</v>
      </c>
      <c r="V64" s="170">
        <f>'BGS PTY16 Cost Alloc'!V64</f>
        <v>42856</v>
      </c>
      <c r="W64" s="50">
        <f>'BGS PTY16 Cost Alloc'!W64</f>
        <v>537001.81996719993</v>
      </c>
      <c r="X64" s="50">
        <f>'BGS PTY16 Cost Alloc'!X64</f>
        <v>4943.0332630000003</v>
      </c>
      <c r="Y64" s="55">
        <f t="shared" si="5"/>
        <v>532058.78670419997</v>
      </c>
      <c r="Z64" s="50">
        <f>'BGS PTY16 Cost Alloc'!Z64</f>
        <v>924905.80030410003</v>
      </c>
      <c r="AA64" s="50">
        <f>'BGS PTY16 Cost Alloc'!AA64</f>
        <v>14357.0040796719</v>
      </c>
      <c r="AB64" s="50">
        <f>'BGS PTY16 Cost Alloc'!AB64</f>
        <v>532589.49712002405</v>
      </c>
      <c r="AC64" s="50">
        <f>'BGS PTY16 Cost Alloc'!AC64</f>
        <v>442963.184987057</v>
      </c>
      <c r="AD64" s="50">
        <f>'BGS PTY16 Cost Alloc'!AD64</f>
        <v>497962.108987057</v>
      </c>
      <c r="AG64" s="50">
        <f>'BGS PTY16 Cost Alloc'!AG64</f>
        <v>9679.0557281706042</v>
      </c>
    </row>
    <row r="65" spans="1:34" x14ac:dyDescent="0.25">
      <c r="A65" s="22"/>
      <c r="B65" s="28" t="s">
        <v>6</v>
      </c>
      <c r="C65" s="49"/>
      <c r="D65" s="49"/>
      <c r="E65" s="50">
        <f>'BGS PTY16 Cost Alloc'!E65</f>
        <v>16476</v>
      </c>
      <c r="F65" s="50">
        <f>'BGS PTY16 Cost Alloc'!F65</f>
        <v>706515</v>
      </c>
      <c r="G65" s="50">
        <f>'BGS PTY16 Cost Alloc'!G65</f>
        <v>503595</v>
      </c>
      <c r="H65" s="50">
        <f>'BGS PTY16 Cost Alloc'!H65</f>
        <v>8862</v>
      </c>
      <c r="I65" s="50">
        <f>'BGS PTY16 Cost Alloc'!I65</f>
        <v>9527</v>
      </c>
      <c r="J65" s="50">
        <f t="shared" si="3"/>
        <v>1244975</v>
      </c>
      <c r="K65" s="49"/>
      <c r="L65" s="50"/>
      <c r="M65" s="50">
        <f t="shared" si="4"/>
        <v>15946</v>
      </c>
      <c r="N65" s="51"/>
      <c r="O65" s="52"/>
      <c r="P65" s="158" t="s">
        <v>151</v>
      </c>
      <c r="Q65" s="159">
        <f>SUMPRODUCT(E38:E41,M65:M68)</f>
        <v>30286.798000000003</v>
      </c>
      <c r="R65" s="159">
        <f>'BGS PTY16 Cost Alloc'!R65</f>
        <v>1937650.243797573</v>
      </c>
      <c r="S65" s="132" t="s">
        <v>177</v>
      </c>
      <c r="T65" s="53">
        <f>+SUMPRODUCT(H38:H41,H65:H68)</f>
        <v>15200.926100000001</v>
      </c>
      <c r="U65" s="56">
        <f>T65/T64</f>
        <v>0.46605733688987</v>
      </c>
      <c r="V65" s="170">
        <f>'BGS PTY16 Cost Alloc'!V65</f>
        <v>42887</v>
      </c>
      <c r="W65" s="50">
        <f>'BGS PTY16 Cost Alloc'!W65</f>
        <v>530088.10893900006</v>
      </c>
      <c r="X65" s="50">
        <f>'BGS PTY16 Cost Alloc'!X65</f>
        <v>4899.8740033000004</v>
      </c>
      <c r="Y65" s="55">
        <f t="shared" si="5"/>
        <v>525188.23493570008</v>
      </c>
      <c r="Z65" s="50">
        <f>'BGS PTY16 Cost Alloc'!Z65</f>
        <v>1023532.7820398</v>
      </c>
      <c r="AA65" s="50">
        <f>'BGS PTY16 Cost Alloc'!AA65</f>
        <v>14922.4316553389</v>
      </c>
      <c r="AB65" s="50">
        <f>'BGS PTY16 Cost Alloc'!AB65</f>
        <v>706515.06056262192</v>
      </c>
      <c r="AC65" s="50">
        <f>'BGS PTY16 Cost Alloc'!AC65</f>
        <v>503599.92031238601</v>
      </c>
      <c r="AD65" s="50">
        <f>'BGS PTY16 Cost Alloc'!AD65</f>
        <v>560959.99931238603</v>
      </c>
      <c r="AG65" s="50">
        <f>'BGS PTY16 Cost Alloc'!AG65</f>
        <v>8861.8146137688982</v>
      </c>
    </row>
    <row r="66" spans="1:34" x14ac:dyDescent="0.25">
      <c r="A66" s="22"/>
      <c r="B66" s="28" t="s">
        <v>7</v>
      </c>
      <c r="C66" s="49"/>
      <c r="D66" s="49"/>
      <c r="E66" s="50">
        <f>'BGS PTY16 Cost Alloc'!E66</f>
        <v>20052</v>
      </c>
      <c r="F66" s="50">
        <f>'BGS PTY16 Cost Alloc'!F66</f>
        <v>976312</v>
      </c>
      <c r="G66" s="50">
        <f>'BGS PTY16 Cost Alloc'!G66</f>
        <v>562778</v>
      </c>
      <c r="H66" s="50">
        <f>'BGS PTY16 Cost Alloc'!H66</f>
        <v>9625</v>
      </c>
      <c r="I66" s="50">
        <f>'BGS PTY16 Cost Alloc'!I66</f>
        <v>9521</v>
      </c>
      <c r="J66" s="50">
        <f t="shared" si="3"/>
        <v>1578288</v>
      </c>
      <c r="K66" s="49"/>
      <c r="L66" s="50"/>
      <c r="M66" s="50">
        <f t="shared" si="4"/>
        <v>19529</v>
      </c>
      <c r="N66" s="51"/>
      <c r="O66" s="52"/>
      <c r="P66" s="158" t="s">
        <v>152</v>
      </c>
      <c r="Q66" s="159">
        <f>SUMPRODUCT(Q38:Q41,M65:M68)</f>
        <v>43823.202000000005</v>
      </c>
      <c r="R66" s="159">
        <f>'BGS PTY16 Cost Alloc'!R66</f>
        <v>1725872.7562024272</v>
      </c>
      <c r="S66" s="132" t="s">
        <v>178</v>
      </c>
      <c r="T66" s="53">
        <f>+T64-T65</f>
        <v>17415.073899999999</v>
      </c>
      <c r="U66" s="48"/>
      <c r="V66" s="170">
        <f>'BGS PTY16 Cost Alloc'!V66</f>
        <v>42917</v>
      </c>
      <c r="W66" s="50">
        <f>'BGS PTY16 Cost Alloc'!W66</f>
        <v>523496.58680840005</v>
      </c>
      <c r="X66" s="50">
        <f>'BGS PTY16 Cost Alloc'!X66</f>
        <v>4833.4869042</v>
      </c>
      <c r="Y66" s="55">
        <f t="shared" si="5"/>
        <v>518663.09990420006</v>
      </c>
      <c r="Z66" s="50">
        <f>'BGS PTY16 Cost Alloc'!Z66</f>
        <v>1214783.9569172999</v>
      </c>
      <c r="AA66" s="50">
        <f>'BGS PTY16 Cost Alloc'!AA66</f>
        <v>18314.165137530403</v>
      </c>
      <c r="AB66" s="50">
        <f>'BGS PTY16 Cost Alloc'!AB66</f>
        <v>976311.957905552</v>
      </c>
      <c r="AC66" s="50">
        <f>'BGS PTY16 Cost Alloc'!AC66</f>
        <v>562783.14787474007</v>
      </c>
      <c r="AD66" s="50">
        <f>'BGS PTY16 Cost Alloc'!AD66</f>
        <v>629884.75487474003</v>
      </c>
      <c r="AG66" s="50">
        <f>'BGS PTY16 Cost Alloc'!AG66</f>
        <v>9624.8977233470014</v>
      </c>
    </row>
    <row r="67" spans="1:34" x14ac:dyDescent="0.25">
      <c r="A67" s="22"/>
      <c r="B67" s="28" t="s">
        <v>8</v>
      </c>
      <c r="C67" s="49"/>
      <c r="D67" s="49"/>
      <c r="E67" s="50">
        <f>'BGS PTY16 Cost Alloc'!E67</f>
        <v>21438</v>
      </c>
      <c r="F67" s="50">
        <f>'BGS PTY16 Cost Alloc'!F67</f>
        <v>1079620</v>
      </c>
      <c r="G67" s="50">
        <f>'BGS PTY16 Cost Alloc'!G67</f>
        <v>581492</v>
      </c>
      <c r="H67" s="50">
        <f>'BGS PTY16 Cost Alloc'!H67</f>
        <v>8337</v>
      </c>
      <c r="I67" s="50">
        <f>'BGS PTY16 Cost Alloc'!I67</f>
        <v>9516</v>
      </c>
      <c r="J67" s="50">
        <f t="shared" si="3"/>
        <v>1700403</v>
      </c>
      <c r="K67" s="49"/>
      <c r="L67" s="49"/>
      <c r="M67" s="50">
        <f t="shared" si="4"/>
        <v>20921</v>
      </c>
      <c r="N67" s="57"/>
      <c r="O67" s="58"/>
      <c r="P67" s="114" t="s">
        <v>195</v>
      </c>
      <c r="Q67" s="53">
        <f>SUM(W65:W68)/1000</f>
        <v>2080.4224798939999</v>
      </c>
      <c r="R67" s="66"/>
      <c r="S67" s="58"/>
      <c r="T67" s="58"/>
      <c r="U67" s="59"/>
      <c r="V67" s="170">
        <f>'BGS PTY16 Cost Alloc'!V67</f>
        <v>42948</v>
      </c>
      <c r="W67" s="50">
        <f>'BGS PTY16 Cost Alloc'!W67</f>
        <v>516770.13112859993</v>
      </c>
      <c r="X67" s="50">
        <f>'BGS PTY16 Cost Alloc'!X67</f>
        <v>4786.6299723000002</v>
      </c>
      <c r="Y67" s="55">
        <f t="shared" si="5"/>
        <v>511983.5011562999</v>
      </c>
      <c r="Z67" s="50">
        <f>'BGS PTY16 Cost Alloc'!Z67</f>
        <v>1269701.3734303999</v>
      </c>
      <c r="AA67" s="50">
        <f>'BGS PTY16 Cost Alloc'!AA67</f>
        <v>19652.175287622998</v>
      </c>
      <c r="AB67" s="50">
        <f>'BGS PTY16 Cost Alloc'!AB67</f>
        <v>1079619.5723389499</v>
      </c>
      <c r="AC67" s="50">
        <f>'BGS PTY16 Cost Alloc'!AC67</f>
        <v>581497.08680325397</v>
      </c>
      <c r="AD67" s="50">
        <f>'BGS PTY16 Cost Alloc'!AD67</f>
        <v>652538.69780325401</v>
      </c>
      <c r="AG67" s="50">
        <f>'BGS PTY16 Cost Alloc'!AG67</f>
        <v>8336.506007141701</v>
      </c>
    </row>
    <row r="68" spans="1:34" x14ac:dyDescent="0.25">
      <c r="A68" s="22"/>
      <c r="B68" s="28" t="s">
        <v>9</v>
      </c>
      <c r="C68" s="49"/>
      <c r="D68" s="49"/>
      <c r="E68" s="50">
        <f>'BGS PTY16 Cost Alloc'!E68</f>
        <v>18224</v>
      </c>
      <c r="F68" s="50">
        <f>'BGS PTY16 Cost Alloc'!F68</f>
        <v>901076</v>
      </c>
      <c r="G68" s="50">
        <f>'BGS PTY16 Cost Alloc'!G68</f>
        <v>539715</v>
      </c>
      <c r="H68" s="50">
        <f>'BGS PTY16 Cost Alloc'!H68</f>
        <v>5792</v>
      </c>
      <c r="I68" s="50">
        <f>'BGS PTY16 Cost Alloc'!I68</f>
        <v>9511</v>
      </c>
      <c r="J68" s="50">
        <f t="shared" si="3"/>
        <v>1474318</v>
      </c>
      <c r="K68" s="49"/>
      <c r="L68" s="49"/>
      <c r="M68" s="50">
        <f t="shared" si="4"/>
        <v>17714</v>
      </c>
      <c r="N68" s="40"/>
      <c r="O68" s="41"/>
      <c r="P68" s="41"/>
      <c r="Q68" s="41" t="s">
        <v>130</v>
      </c>
      <c r="R68" s="41"/>
      <c r="S68" s="41"/>
      <c r="T68" s="41"/>
      <c r="U68" s="42"/>
      <c r="V68" s="170">
        <f>'BGS PTY16 Cost Alloc'!V68</f>
        <v>42979</v>
      </c>
      <c r="W68" s="50">
        <f>'BGS PTY16 Cost Alloc'!W68</f>
        <v>510067.65301799995</v>
      </c>
      <c r="X68" s="50">
        <f>'BGS PTY16 Cost Alloc'!X68</f>
        <v>4748.8027156999997</v>
      </c>
      <c r="Y68" s="55">
        <f t="shared" si="5"/>
        <v>505318.85030229995</v>
      </c>
      <c r="Z68" s="50">
        <f>'BGS PTY16 Cost Alloc'!Z68</f>
        <v>1085319.922977</v>
      </c>
      <c r="AA68" s="50">
        <f>'BGS PTY16 Cost Alloc'!AA68</f>
        <v>16628.5328073116</v>
      </c>
      <c r="AB68" s="50">
        <f>'BGS PTY16 Cost Alloc'!AB68</f>
        <v>901075.70826971193</v>
      </c>
      <c r="AC68" s="50">
        <f>'BGS PTY16 Cost Alloc'!AC68</f>
        <v>539719.90629777999</v>
      </c>
      <c r="AD68" s="50">
        <f>'BGS PTY16 Cost Alloc'!AD68</f>
        <v>610148.17329777998</v>
      </c>
      <c r="AG68" s="50">
        <f>'BGS PTY16 Cost Alloc'!AG68</f>
        <v>5792.0118773498016</v>
      </c>
    </row>
    <row r="69" spans="1:34" x14ac:dyDescent="0.25">
      <c r="A69" s="22"/>
      <c r="B69" s="28" t="s">
        <v>10</v>
      </c>
      <c r="C69" s="49"/>
      <c r="D69" s="49"/>
      <c r="E69" s="50">
        <f>'BGS PTY16 Cost Alloc'!E69</f>
        <v>13316</v>
      </c>
      <c r="F69" s="50">
        <f>'BGS PTY16 Cost Alloc'!F69</f>
        <v>616607</v>
      </c>
      <c r="G69" s="50">
        <f>'BGS PTY16 Cost Alloc'!G69</f>
        <v>481352</v>
      </c>
      <c r="H69" s="50">
        <f>'BGS PTY16 Cost Alloc'!H69</f>
        <v>9655</v>
      </c>
      <c r="I69" s="50">
        <f>'BGS PTY16 Cost Alloc'!I69</f>
        <v>9506</v>
      </c>
      <c r="J69" s="50">
        <f t="shared" si="3"/>
        <v>1130436</v>
      </c>
      <c r="K69" s="49"/>
      <c r="L69" s="49"/>
      <c r="M69" s="50">
        <f t="shared" si="4"/>
        <v>12812</v>
      </c>
      <c r="N69" s="43"/>
      <c r="O69" s="44"/>
      <c r="P69" s="44"/>
      <c r="Q69" s="44" t="str">
        <f>+Q$13</f>
        <v>RT{1}</v>
      </c>
      <c r="R69" s="44"/>
      <c r="S69" s="44"/>
      <c r="T69" s="44" t="str">
        <f>+T$13</f>
        <v>GST</v>
      </c>
      <c r="U69" s="45"/>
      <c r="V69" s="170">
        <f>'BGS PTY16 Cost Alloc'!V69</f>
        <v>43009</v>
      </c>
      <c r="W69" s="50">
        <f>'BGS PTY16 Cost Alloc'!W69</f>
        <v>503664.86184990004</v>
      </c>
      <c r="X69" s="50">
        <f>'BGS PTY16 Cost Alloc'!X69</f>
        <v>4744.8050679999997</v>
      </c>
      <c r="Y69" s="55">
        <f t="shared" si="5"/>
        <v>498920.05678190006</v>
      </c>
      <c r="Z69" s="50">
        <f>'BGS PTY16 Cost Alloc'!Z69</f>
        <v>858064.71484709997</v>
      </c>
      <c r="AA69" s="50">
        <f>'BGS PTY16 Cost Alloc'!AA69</f>
        <v>12812.072040655401</v>
      </c>
      <c r="AB69" s="50">
        <f>'BGS PTY16 Cost Alloc'!AB69</f>
        <v>615748.77924449695</v>
      </c>
      <c r="AC69" s="50">
        <f>'BGS PTY16 Cost Alloc'!AC69</f>
        <v>481357.31496833509</v>
      </c>
      <c r="AD69" s="50">
        <f>'BGS PTY16 Cost Alloc'!AD69</f>
        <v>542518.38096833508</v>
      </c>
      <c r="AG69" s="50">
        <f>'BGS PTY16 Cost Alloc'!AG69</f>
        <v>9654.5129142968945</v>
      </c>
    </row>
    <row r="70" spans="1:34" x14ac:dyDescent="0.25">
      <c r="A70" s="22"/>
      <c r="B70" s="28" t="s">
        <v>11</v>
      </c>
      <c r="C70" s="49"/>
      <c r="D70" s="49"/>
      <c r="E70" s="50">
        <f>'BGS PTY16 Cost Alloc'!E70</f>
        <v>14708</v>
      </c>
      <c r="F70" s="50">
        <f>'BGS PTY16 Cost Alloc'!F70</f>
        <v>567433</v>
      </c>
      <c r="G70" s="50">
        <f>'BGS PTY16 Cost Alloc'!G70</f>
        <v>422134</v>
      </c>
      <c r="H70" s="50">
        <f>'BGS PTY16 Cost Alloc'!H70</f>
        <v>6738</v>
      </c>
      <c r="I70" s="50">
        <f>'BGS PTY16 Cost Alloc'!I70</f>
        <v>9501</v>
      </c>
      <c r="J70" s="50">
        <f t="shared" si="3"/>
        <v>1020514</v>
      </c>
      <c r="K70" s="49"/>
      <c r="L70" s="49"/>
      <c r="M70" s="50">
        <f t="shared" si="4"/>
        <v>14211</v>
      </c>
      <c r="N70" s="46"/>
      <c r="O70" s="47"/>
      <c r="P70" s="47"/>
      <c r="Q70" s="47"/>
      <c r="R70" s="47"/>
      <c r="S70" s="47"/>
      <c r="T70" s="47"/>
      <c r="U70" s="48"/>
      <c r="V70" s="170">
        <f>'BGS PTY16 Cost Alloc'!V70</f>
        <v>43040</v>
      </c>
      <c r="W70" s="50">
        <f>'BGS PTY16 Cost Alloc'!W70</f>
        <v>497086.90227129991</v>
      </c>
      <c r="X70" s="50">
        <f>'BGS PTY16 Cost Alloc'!X70</f>
        <v>4704.6675745000002</v>
      </c>
      <c r="Y70" s="55">
        <f t="shared" si="5"/>
        <v>492382.23469679989</v>
      </c>
      <c r="Z70" s="50">
        <f>'BGS PTY16 Cost Alloc'!Z70</f>
        <v>1028470.2814720999</v>
      </c>
      <c r="AA70" s="50">
        <f>'BGS PTY16 Cost Alloc'!AA70</f>
        <v>14210.7384707623</v>
      </c>
      <c r="AB70" s="50">
        <f>'BGS PTY16 Cost Alloc'!AB70</f>
        <v>566405.32324776601</v>
      </c>
      <c r="AC70" s="50">
        <f>'BGS PTY16 Cost Alloc'!AC70</f>
        <v>422139.17746071203</v>
      </c>
      <c r="AD70" s="50">
        <f>'BGS PTY16 Cost Alloc'!AD70</f>
        <v>477703.61746071203</v>
      </c>
      <c r="AE70" s="13">
        <f>'BGS PTY16 Cost Alloc'!AE70</f>
        <v>0</v>
      </c>
      <c r="AG70" s="50">
        <f>'BGS PTY16 Cost Alloc'!AG70</f>
        <v>6738.0609270856976</v>
      </c>
      <c r="AH70" s="13">
        <f>'BGS PTY16 Cost Alloc'!AH70</f>
        <v>0</v>
      </c>
    </row>
    <row r="71" spans="1:34" x14ac:dyDescent="0.25">
      <c r="A71" s="22"/>
      <c r="B71" s="28" t="s">
        <v>12</v>
      </c>
      <c r="C71" s="49"/>
      <c r="D71" s="49"/>
      <c r="E71" s="50">
        <f>'BGS PTY16 Cost Alloc'!E71</f>
        <v>19538</v>
      </c>
      <c r="F71" s="50">
        <f>'BGS PTY16 Cost Alloc'!F71</f>
        <v>657345</v>
      </c>
      <c r="G71" s="50">
        <f>'BGS PTY16 Cost Alloc'!G71</f>
        <v>457512</v>
      </c>
      <c r="H71" s="50">
        <f>'BGS PTY16 Cost Alloc'!H71</f>
        <v>7844</v>
      </c>
      <c r="I71" s="50">
        <f>'BGS PTY16 Cost Alloc'!I71</f>
        <v>9496</v>
      </c>
      <c r="J71" s="50">
        <f t="shared" si="3"/>
        <v>1151735</v>
      </c>
      <c r="K71" s="49"/>
      <c r="L71" s="49"/>
      <c r="M71" s="50">
        <f t="shared" si="4"/>
        <v>19047</v>
      </c>
      <c r="N71" s="51"/>
      <c r="O71" s="52"/>
      <c r="P71" s="115" t="s">
        <v>148</v>
      </c>
      <c r="Q71" s="53">
        <f>SUM(E60:E64,E69:E71)</f>
        <v>159889</v>
      </c>
      <c r="R71" s="53"/>
      <c r="S71" s="115" t="s">
        <v>148</v>
      </c>
      <c r="T71" s="53">
        <f>SUM(H60:H64,H69:H71)</f>
        <v>85407</v>
      </c>
      <c r="U71" s="54"/>
      <c r="V71" s="170">
        <f>'BGS PTY16 Cost Alloc'!V71</f>
        <v>43070</v>
      </c>
      <c r="W71" s="50">
        <f>'BGS PTY16 Cost Alloc'!W71</f>
        <v>490707.39849850006</v>
      </c>
      <c r="X71" s="50">
        <f>'BGS PTY16 Cost Alloc'!X71</f>
        <v>4636.8137026000004</v>
      </c>
      <c r="Y71" s="55">
        <f t="shared" si="5"/>
        <v>486070.58479590004</v>
      </c>
      <c r="Z71" s="50">
        <f>'BGS PTY16 Cost Alloc'!Z71</f>
        <v>1393628.8582929999</v>
      </c>
      <c r="AA71" s="50">
        <f>'BGS PTY16 Cost Alloc'!AA71</f>
        <v>19047.313201495799</v>
      </c>
      <c r="AB71" s="50">
        <f>'BGS PTY16 Cost Alloc'!AB71</f>
        <v>655950.73794021108</v>
      </c>
      <c r="AC71" s="50">
        <f>'BGS PTY16 Cost Alloc'!AC71</f>
        <v>457516.60524028598</v>
      </c>
      <c r="AD71" s="50">
        <f>'BGS PTY16 Cost Alloc'!AD71</f>
        <v>511774.49224028597</v>
      </c>
      <c r="AE71" s="13">
        <f>'BGS PTY16 Cost Alloc'!AE71</f>
        <v>0</v>
      </c>
      <c r="AG71" s="50">
        <f>'BGS PTY16 Cost Alloc'!AG71</f>
        <v>7844.4313836348947</v>
      </c>
      <c r="AH71" s="13">
        <f>'BGS PTY16 Cost Alloc'!AH71</f>
        <v>0</v>
      </c>
    </row>
    <row r="72" spans="1:34" x14ac:dyDescent="0.25">
      <c r="A72" s="22"/>
      <c r="B72" s="60" t="s">
        <v>13</v>
      </c>
      <c r="C72" s="55"/>
      <c r="D72" s="55"/>
      <c r="E72" s="55">
        <f>SUM(E60:E71)</f>
        <v>236079</v>
      </c>
      <c r="F72" s="55">
        <f>SUM(F60:F71)</f>
        <v>8821066</v>
      </c>
      <c r="G72" s="55">
        <f>SUM(G60:G71)</f>
        <v>5984056</v>
      </c>
      <c r="H72" s="55">
        <f>SUM(H60:H71)</f>
        <v>118023</v>
      </c>
      <c r="I72" s="55">
        <f>SUM(I60:I71)</f>
        <v>114289</v>
      </c>
      <c r="J72" s="55">
        <f t="shared" si="3"/>
        <v>15273513</v>
      </c>
      <c r="K72" s="55"/>
      <c r="L72" s="55"/>
      <c r="M72" s="55">
        <f>SUM(M60:M71)</f>
        <v>229755</v>
      </c>
      <c r="N72" s="51"/>
      <c r="O72" s="52"/>
      <c r="P72" s="114" t="s">
        <v>146</v>
      </c>
      <c r="Q72" s="53">
        <f>SUMPRODUCT(E15:E19,E60:E64)+SUMPRODUCT(E24:E26,E69:E71)</f>
        <v>76997.063999999998</v>
      </c>
      <c r="R72" s="47">
        <f>Q72/Q71</f>
        <v>0.48156573622950921</v>
      </c>
      <c r="S72" s="114" t="s">
        <v>177</v>
      </c>
      <c r="T72" s="53">
        <f>SUMPRODUCT(H15:H19,H60:H64)+SUMPRODUCT(H24:H26,H69:H71)</f>
        <v>48002.655500000001</v>
      </c>
      <c r="U72" s="48">
        <f>T72/T71</f>
        <v>0.56204591544018645</v>
      </c>
      <c r="W72" s="55">
        <f t="shared" ref="W72:AD72" si="6">SUM(W60:W71)</f>
        <v>6322995.4084249996</v>
      </c>
      <c r="X72" s="55">
        <f t="shared" si="6"/>
        <v>58372.370965800001</v>
      </c>
      <c r="Y72" s="55">
        <f t="shared" si="6"/>
        <v>6264623.0374591993</v>
      </c>
      <c r="Z72" s="55">
        <f t="shared" si="6"/>
        <v>16471071.3263715</v>
      </c>
      <c r="AA72" s="55">
        <f t="shared" si="6"/>
        <v>225161.18037678645</v>
      </c>
      <c r="AB72" s="55">
        <f t="shared" si="6"/>
        <v>8809189.7995927911</v>
      </c>
      <c r="AC72" s="55">
        <f t="shared" si="6"/>
        <v>5984115.1464145193</v>
      </c>
      <c r="AD72" s="55">
        <f t="shared" si="6"/>
        <v>6690022.0724145193</v>
      </c>
      <c r="AE72" s="13">
        <f>'BGS PTY16 Cost Alloc'!AE72</f>
        <v>0</v>
      </c>
      <c r="AG72" s="55">
        <f>SUM(AG60:AG71)</f>
        <v>118022.76422646637</v>
      </c>
      <c r="AH72" s="13">
        <f>'BGS PTY16 Cost Alloc'!AH72</f>
        <v>0</v>
      </c>
    </row>
    <row r="73" spans="1:34" x14ac:dyDescent="0.25">
      <c r="A73" s="22"/>
      <c r="B73" s="28"/>
      <c r="J73" s="61"/>
      <c r="N73" s="51"/>
      <c r="O73" s="52"/>
      <c r="P73" s="114" t="s">
        <v>145</v>
      </c>
      <c r="Q73" s="53">
        <f>+Q71-Q72</f>
        <v>82891.936000000002</v>
      </c>
      <c r="R73" s="47"/>
      <c r="S73" s="114" t="s">
        <v>178</v>
      </c>
      <c r="T73" s="53">
        <f>+T71-T72</f>
        <v>37404.344499999999</v>
      </c>
      <c r="U73" s="48"/>
    </row>
    <row r="74" spans="1:34" ht="15.6" x14ac:dyDescent="0.3">
      <c r="A74" s="22"/>
      <c r="N74" s="46"/>
      <c r="O74" s="47"/>
      <c r="P74" s="47"/>
      <c r="Q74" s="47"/>
      <c r="R74" s="47"/>
      <c r="S74" s="47"/>
      <c r="T74" s="47"/>
      <c r="U74" s="48"/>
      <c r="V74" s="71" t="s">
        <v>181</v>
      </c>
      <c r="W74" s="13" t="s">
        <v>185</v>
      </c>
      <c r="X74" s="13" t="s">
        <v>184</v>
      </c>
      <c r="Y74" s="13" t="s">
        <v>182</v>
      </c>
      <c r="Z74" s="13" t="s">
        <v>183</v>
      </c>
      <c r="AB74" s="13" t="s">
        <v>186</v>
      </c>
      <c r="AC74" s="13" t="s">
        <v>211</v>
      </c>
      <c r="AE74" s="14"/>
    </row>
    <row r="75" spans="1:34" x14ac:dyDescent="0.25">
      <c r="A75" s="18" t="s">
        <v>37</v>
      </c>
      <c r="B75" s="16" t="s">
        <v>19</v>
      </c>
      <c r="G75" s="62" t="s">
        <v>32</v>
      </c>
      <c r="H75" s="16" t="s">
        <v>175</v>
      </c>
      <c r="N75" s="51"/>
      <c r="O75" s="52"/>
      <c r="P75" s="116" t="s">
        <v>149</v>
      </c>
      <c r="Q75" s="53">
        <f>+SUM(E65:E68)</f>
        <v>76190</v>
      </c>
      <c r="R75" s="44"/>
      <c r="S75" s="116" t="s">
        <v>149</v>
      </c>
      <c r="T75" s="53">
        <f>+SUM(H65:H68)</f>
        <v>32616</v>
      </c>
      <c r="U75" s="45"/>
      <c r="V75" s="55">
        <f t="shared" ref="V75:V86" si="7">W60-W75</f>
        <v>226530.3738246999</v>
      </c>
      <c r="W75" s="55">
        <f t="shared" ref="W75:W86" si="8">SUM(X75:Z75)</f>
        <v>336693.77829809999</v>
      </c>
      <c r="X75" s="50">
        <f>'BGS PTY16 Cost Alloc'!X75</f>
        <v>3943.3482992999998</v>
      </c>
      <c r="Y75" s="50">
        <f>'BGS PTY16 Cost Alloc'!Y75</f>
        <v>329613.2807077</v>
      </c>
      <c r="Z75" s="50">
        <f>'BGS PTY16 Cost Alloc'!Z75</f>
        <v>3137.1492911</v>
      </c>
      <c r="AA75" s="55"/>
      <c r="AB75" s="13">
        <f t="shared" ref="AB75:AB86" si="9">(V75*$AA$94+W75*$AA$95)/1000</f>
        <v>122.74217351745266</v>
      </c>
      <c r="AC75" s="13">
        <f t="shared" ref="AC75:AC86" si="10">(W60/1000)-AB75</f>
        <v>440.48197860534719</v>
      </c>
    </row>
    <row r="76" spans="1:34" s="63" customFormat="1" x14ac:dyDescent="0.25">
      <c r="A76" s="22"/>
      <c r="B76" s="17" t="s">
        <v>21</v>
      </c>
      <c r="G76" s="21"/>
      <c r="H76" s="128" t="s">
        <v>174</v>
      </c>
      <c r="N76" s="51"/>
      <c r="O76" s="52"/>
      <c r="P76" s="114" t="s">
        <v>146</v>
      </c>
      <c r="Q76" s="53">
        <f>+SUMPRODUCT(E20:E23,E65:E68)</f>
        <v>39621.756200000003</v>
      </c>
      <c r="R76" s="47">
        <f>Q76/Q75</f>
        <v>0.52003880036750239</v>
      </c>
      <c r="S76" s="132" t="s">
        <v>177</v>
      </c>
      <c r="T76" s="53">
        <f>+SUMPRODUCT(H20:H23,H65:H68)</f>
        <v>19198.993999999999</v>
      </c>
      <c r="U76" s="48">
        <f>T76/T75</f>
        <v>0.58863729457934755</v>
      </c>
      <c r="V76" s="55">
        <f t="shared" si="7"/>
        <v>224364.71409089997</v>
      </c>
      <c r="W76" s="55">
        <f t="shared" si="8"/>
        <v>332254.62355079997</v>
      </c>
      <c r="X76" s="50">
        <f>'BGS PTY16 Cost Alloc'!X76</f>
        <v>3905.4500030999998</v>
      </c>
      <c r="Y76" s="50">
        <f>'BGS PTY16 Cost Alloc'!Y76</f>
        <v>325287.40141569998</v>
      </c>
      <c r="Z76" s="50">
        <f>'BGS PTY16 Cost Alloc'!Z76</f>
        <v>3061.7721320000001</v>
      </c>
      <c r="AA76" s="55"/>
      <c r="AB76" s="13">
        <f t="shared" si="9"/>
        <v>121.22161654971083</v>
      </c>
      <c r="AC76" s="13">
        <f t="shared" si="10"/>
        <v>435.39772109198918</v>
      </c>
      <c r="AD76" s="13"/>
    </row>
    <row r="77" spans="1:34" x14ac:dyDescent="0.25">
      <c r="A77" s="22"/>
      <c r="C77" s="26" t="s">
        <v>222</v>
      </c>
      <c r="D77" s="26" t="s">
        <v>218</v>
      </c>
      <c r="E77" s="26" t="s">
        <v>222</v>
      </c>
      <c r="F77" s="26" t="s">
        <v>218</v>
      </c>
      <c r="G77" s="26"/>
      <c r="N77" s="64"/>
      <c r="O77" s="65"/>
      <c r="P77" s="117" t="s">
        <v>145</v>
      </c>
      <c r="Q77" s="66">
        <f>Q75-Q76</f>
        <v>36568.243799999997</v>
      </c>
      <c r="R77" s="58"/>
      <c r="S77" s="133" t="s">
        <v>178</v>
      </c>
      <c r="T77" s="66">
        <f>T75-T76</f>
        <v>13417.006000000001</v>
      </c>
      <c r="U77" s="59"/>
      <c r="V77" s="55">
        <f t="shared" si="7"/>
        <v>222370.07065110002</v>
      </c>
      <c r="W77" s="55">
        <f t="shared" si="8"/>
        <v>328187.97910740005</v>
      </c>
      <c r="X77" s="50">
        <f>'BGS PTY16 Cost Alloc'!X77</f>
        <v>3868.7355381000002</v>
      </c>
      <c r="Y77" s="50">
        <f>'BGS PTY16 Cost Alloc'!Y77</f>
        <v>321325.61404840002</v>
      </c>
      <c r="Z77" s="50">
        <f>'BGS PTY16 Cost Alloc'!Z77</f>
        <v>2993.6295209</v>
      </c>
      <c r="AA77" s="55"/>
      <c r="AB77" s="13">
        <f t="shared" si="9"/>
        <v>119.8273811308417</v>
      </c>
      <c r="AC77" s="13">
        <f t="shared" si="10"/>
        <v>430.73066862765836</v>
      </c>
      <c r="AD77" s="55">
        <f>SUM(AB65:AB68)</f>
        <v>3663522.2990768361</v>
      </c>
    </row>
    <row r="78" spans="1:34" x14ac:dyDescent="0.25">
      <c r="A78" s="22"/>
      <c r="C78" s="26" t="s">
        <v>14</v>
      </c>
      <c r="D78" s="26" t="s">
        <v>14</v>
      </c>
      <c r="E78" s="26" t="s">
        <v>15</v>
      </c>
      <c r="F78" s="26" t="s">
        <v>15</v>
      </c>
      <c r="H78" s="26" t="s">
        <v>14</v>
      </c>
      <c r="I78" s="26" t="s">
        <v>15</v>
      </c>
      <c r="N78" s="46"/>
      <c r="O78" s="47"/>
      <c r="P78" s="47"/>
      <c r="Q78" s="47" t="s">
        <v>58</v>
      </c>
      <c r="R78" s="47"/>
      <c r="S78" s="47"/>
      <c r="T78" s="47"/>
      <c r="U78" s="48"/>
      <c r="V78" s="55">
        <f t="shared" si="7"/>
        <v>220101.94475259993</v>
      </c>
      <c r="W78" s="55">
        <f t="shared" si="8"/>
        <v>323608.46166849998</v>
      </c>
      <c r="X78" s="50">
        <f>'BGS PTY16 Cost Alloc'!X78</f>
        <v>3848.2726711</v>
      </c>
      <c r="Y78" s="50">
        <f>'BGS PTY16 Cost Alloc'!Y78</f>
        <v>316843.45217980002</v>
      </c>
      <c r="Z78" s="50">
        <f>'BGS PTY16 Cost Alloc'!Z78</f>
        <v>2916.7368176</v>
      </c>
      <c r="AA78" s="55"/>
      <c r="AB78" s="13">
        <f t="shared" si="9"/>
        <v>118.25469892272508</v>
      </c>
      <c r="AC78" s="13">
        <f t="shared" si="10"/>
        <v>425.45570749837486</v>
      </c>
    </row>
    <row r="79" spans="1:34" x14ac:dyDescent="0.25">
      <c r="A79" s="22"/>
      <c r="B79" s="28" t="s">
        <v>1</v>
      </c>
      <c r="C79" s="69">
        <v>52.53</v>
      </c>
      <c r="D79" s="163">
        <f>ROUND(C79*$H$308,3)</f>
        <v>54.029000000000003</v>
      </c>
      <c r="E79" s="67">
        <v>36.750999999999998</v>
      </c>
      <c r="F79" s="163">
        <f>ROUND(E79*$H$308,3)</f>
        <v>37.798999999999999</v>
      </c>
      <c r="H79" s="33">
        <v>1.0424479436469261</v>
      </c>
      <c r="I79" s="33">
        <v>1.0344323436374043</v>
      </c>
      <c r="L79" s="50"/>
      <c r="N79" s="43"/>
      <c r="O79" s="44"/>
      <c r="P79" s="26"/>
      <c r="Q79" s="26" t="str">
        <f>+Q$13</f>
        <v>RT{1}</v>
      </c>
      <c r="R79" s="26"/>
      <c r="S79" s="26"/>
      <c r="T79" s="26" t="str">
        <f>+T$13</f>
        <v>GST</v>
      </c>
      <c r="U79" s="45"/>
      <c r="V79" s="55">
        <f t="shared" si="7"/>
        <v>217869.96367459995</v>
      </c>
      <c r="W79" s="55">
        <f t="shared" si="8"/>
        <v>319131.85629259999</v>
      </c>
      <c r="X79" s="50">
        <f>'BGS PTY16 Cost Alloc'!X79</f>
        <v>3840.7705142</v>
      </c>
      <c r="Y79" s="50">
        <f>'BGS PTY16 Cost Alloc'!Y79</f>
        <v>312448.6062865</v>
      </c>
      <c r="Z79" s="50">
        <f>'BGS PTY16 Cost Alloc'!Z79</f>
        <v>2842.4794919000001</v>
      </c>
      <c r="AA79" s="55"/>
      <c r="AB79" s="13">
        <f t="shared" si="9"/>
        <v>116.71559353350445</v>
      </c>
      <c r="AC79" s="13">
        <f t="shared" si="10"/>
        <v>420.2862264336955</v>
      </c>
    </row>
    <row r="80" spans="1:34" x14ac:dyDescent="0.25">
      <c r="A80" s="22"/>
      <c r="B80" s="28" t="s">
        <v>2</v>
      </c>
      <c r="C80" s="69">
        <v>49.85</v>
      </c>
      <c r="D80" s="163">
        <f>ROUND(C80*$H$308,3)</f>
        <v>51.271999999999998</v>
      </c>
      <c r="E80" s="67">
        <v>34.875999999999998</v>
      </c>
      <c r="F80" s="163">
        <f>ROUND(E80*$H$308,3)</f>
        <v>35.871000000000002</v>
      </c>
      <c r="H80" s="178">
        <f>H79</f>
        <v>1.0424479436469261</v>
      </c>
      <c r="I80" s="178">
        <f>I79</f>
        <v>1.0344323436374043</v>
      </c>
      <c r="L80" s="140"/>
      <c r="N80" s="46"/>
      <c r="O80" s="47"/>
      <c r="P80" s="47"/>
      <c r="Q80" s="47"/>
      <c r="R80" s="47"/>
      <c r="S80" s="47"/>
      <c r="T80" s="47"/>
      <c r="U80" s="48"/>
      <c r="V80" s="55">
        <f t="shared" si="7"/>
        <v>215576.42238700006</v>
      </c>
      <c r="W80" s="55">
        <f t="shared" si="8"/>
        <v>314511.686552</v>
      </c>
      <c r="X80" s="50">
        <f>'BGS PTY16 Cost Alloc'!X80</f>
        <v>3810.3141402000001</v>
      </c>
      <c r="Y80" s="50">
        <f>'BGS PTY16 Cost Alloc'!Y80</f>
        <v>307936.03267360001</v>
      </c>
      <c r="Z80" s="50">
        <f>'BGS PTY16 Cost Alloc'!Z80</f>
        <v>2765.3397381999998</v>
      </c>
      <c r="AA80" s="55"/>
      <c r="AB80" s="13">
        <f t="shared" si="9"/>
        <v>115.12832192813646</v>
      </c>
      <c r="AC80" s="13">
        <f t="shared" si="10"/>
        <v>414.95978701086364</v>
      </c>
    </row>
    <row r="81" spans="1:29" x14ac:dyDescent="0.25">
      <c r="A81" s="22"/>
      <c r="B81" s="28" t="s">
        <v>3</v>
      </c>
      <c r="C81" s="69">
        <v>40.31</v>
      </c>
      <c r="D81" s="163">
        <f>ROUND(C81*$H$308,3)</f>
        <v>41.46</v>
      </c>
      <c r="E81" s="67">
        <v>28.202000000000002</v>
      </c>
      <c r="F81" s="163">
        <f>ROUND(E81*$H$308,3)</f>
        <v>29.007000000000001</v>
      </c>
      <c r="H81" s="178">
        <f>H79</f>
        <v>1.0424479436469261</v>
      </c>
      <c r="I81" s="178">
        <f>I79</f>
        <v>1.0344323436374043</v>
      </c>
      <c r="L81" s="140"/>
      <c r="N81" s="51"/>
      <c r="O81" s="52"/>
      <c r="P81" s="115" t="s">
        <v>26</v>
      </c>
      <c r="Q81" s="53"/>
      <c r="R81" s="53"/>
      <c r="S81" s="115" t="s">
        <v>26</v>
      </c>
      <c r="T81" s="53"/>
      <c r="U81" s="54"/>
      <c r="V81" s="55">
        <f t="shared" si="7"/>
        <v>213401.7437922</v>
      </c>
      <c r="W81" s="55">
        <f t="shared" si="8"/>
        <v>310094.84301620006</v>
      </c>
      <c r="X81" s="50">
        <f>'BGS PTY16 Cost Alloc'!X81</f>
        <v>3761.9857619999998</v>
      </c>
      <c r="Y81" s="50">
        <f>'BGS PTY16 Cost Alloc'!Y81</f>
        <v>303641.57100890001</v>
      </c>
      <c r="Z81" s="50">
        <f>'BGS PTY16 Cost Alloc'!Z81</f>
        <v>2691.2862452999998</v>
      </c>
      <c r="AA81" s="55"/>
      <c r="AB81" s="13">
        <f t="shared" si="9"/>
        <v>113.61303782499373</v>
      </c>
      <c r="AC81" s="13">
        <f t="shared" si="10"/>
        <v>409.88354898340629</v>
      </c>
    </row>
    <row r="82" spans="1:29" x14ac:dyDescent="0.25">
      <c r="A82" s="22"/>
      <c r="B82" s="28" t="s">
        <v>4</v>
      </c>
      <c r="C82" s="69">
        <v>33.729999999999997</v>
      </c>
      <c r="D82" s="163">
        <f>ROUND(C82*$H$308,3)</f>
        <v>34.692</v>
      </c>
      <c r="E82" s="67">
        <v>23.597999999999999</v>
      </c>
      <c r="F82" s="163">
        <f>ROUND(E82*$H$308,3)</f>
        <v>24.271000000000001</v>
      </c>
      <c r="H82" s="178">
        <f>H79</f>
        <v>1.0424479436469261</v>
      </c>
      <c r="I82" s="178">
        <f>I79</f>
        <v>1.0344323436374043</v>
      </c>
      <c r="L82" s="140"/>
      <c r="N82" s="51"/>
      <c r="O82" s="52"/>
      <c r="P82" s="114" t="s">
        <v>147</v>
      </c>
      <c r="Q82" s="53">
        <f>Q72-Q61</f>
        <v>21733.866500000004</v>
      </c>
      <c r="R82" s="47"/>
      <c r="S82" s="114" t="s">
        <v>147</v>
      </c>
      <c r="T82" s="53">
        <f>T72-T61</f>
        <v>10550.314600000005</v>
      </c>
      <c r="U82" s="48"/>
      <c r="V82" s="55">
        <f t="shared" si="7"/>
        <v>211185.00945269992</v>
      </c>
      <c r="W82" s="55">
        <f t="shared" si="8"/>
        <v>305585.12167590001</v>
      </c>
      <c r="X82" s="50">
        <f>'BGS PTY16 Cost Alloc'!X82</f>
        <v>3728.871619</v>
      </c>
      <c r="Y82" s="50">
        <f>'BGS PTY16 Cost Alloc'!Y82</f>
        <v>299241.03719130001</v>
      </c>
      <c r="Z82" s="50">
        <f>'BGS PTY16 Cost Alloc'!Z82</f>
        <v>2615.2128656</v>
      </c>
      <c r="AA82" s="55"/>
      <c r="AB82" s="13">
        <f t="shared" si="9"/>
        <v>112.0663275177907</v>
      </c>
      <c r="AC82" s="13">
        <f t="shared" si="10"/>
        <v>404.70380361080925</v>
      </c>
    </row>
    <row r="83" spans="1:29" x14ac:dyDescent="0.25">
      <c r="A83" s="22"/>
      <c r="B83" s="28" t="s">
        <v>5</v>
      </c>
      <c r="C83" s="69">
        <v>33.630000000000003</v>
      </c>
      <c r="D83" s="163">
        <f>ROUND(C83*$H$308,3)</f>
        <v>34.588999999999999</v>
      </c>
      <c r="E83" s="67">
        <v>23.529</v>
      </c>
      <c r="F83" s="163">
        <f>ROUND(E83*$H$308,3)</f>
        <v>24.2</v>
      </c>
      <c r="H83" s="178">
        <f>H79</f>
        <v>1.0424479436469261</v>
      </c>
      <c r="I83" s="178">
        <f>I79</f>
        <v>1.0344323436374043</v>
      </c>
      <c r="L83" s="140"/>
      <c r="N83" s="51"/>
      <c r="O83" s="52"/>
      <c r="P83" s="114" t="s">
        <v>150</v>
      </c>
      <c r="Q83" s="141">
        <f>Q82*(E117-E118)</f>
        <v>328356.135655961</v>
      </c>
      <c r="R83" s="47"/>
      <c r="S83" s="114" t="s">
        <v>150</v>
      </c>
      <c r="T83" s="141">
        <f>T82*(H117-H118)</f>
        <v>153458.02614462195</v>
      </c>
      <c r="U83" s="48"/>
      <c r="V83" s="55">
        <f t="shared" si="7"/>
        <v>208976.67812029994</v>
      </c>
      <c r="W83" s="55">
        <f t="shared" si="8"/>
        <v>301090.97489770001</v>
      </c>
      <c r="X83" s="50">
        <f>'BGS PTY16 Cost Alloc'!X83</f>
        <v>3702.85914</v>
      </c>
      <c r="Y83" s="50">
        <f>'BGS PTY16 Cost Alloc'!Y83</f>
        <v>294848.89312620001</v>
      </c>
      <c r="Z83" s="50">
        <f>'BGS PTY16 Cost Alloc'!Z83</f>
        <v>2539.2226314999998</v>
      </c>
      <c r="AA83" s="55"/>
      <c r="AB83" s="13">
        <f t="shared" si="9"/>
        <v>110.52504783263467</v>
      </c>
      <c r="AC83" s="13">
        <f t="shared" si="10"/>
        <v>399.54260518536523</v>
      </c>
    </row>
    <row r="84" spans="1:29" x14ac:dyDescent="0.25">
      <c r="A84" s="22"/>
      <c r="B84" s="187" t="s">
        <v>6</v>
      </c>
      <c r="C84" s="507">
        <v>37.35</v>
      </c>
      <c r="D84" s="229">
        <f>ROUND(C84*$H$307,3)</f>
        <v>48.396000000000001</v>
      </c>
      <c r="E84" s="228">
        <v>23.965</v>
      </c>
      <c r="F84" s="230">
        <f>ROUND(E84*$H$307,3)</f>
        <v>31.052</v>
      </c>
      <c r="H84" s="129">
        <v>0.95336004762387205</v>
      </c>
      <c r="I84" s="130">
        <v>0.89953982005070054</v>
      </c>
      <c r="L84" s="140"/>
      <c r="N84" s="46"/>
      <c r="O84" s="47"/>
      <c r="P84" s="47"/>
      <c r="Q84" s="68"/>
      <c r="R84" s="47"/>
      <c r="S84" s="47"/>
      <c r="T84" s="68"/>
      <c r="U84" s="48"/>
      <c r="V84" s="55">
        <f t="shared" si="7"/>
        <v>206867.17113490001</v>
      </c>
      <c r="W84" s="55">
        <f t="shared" si="8"/>
        <v>296797.69071500003</v>
      </c>
      <c r="X84" s="50">
        <f>'BGS PTY16 Cost Alloc'!X84</f>
        <v>3702.9013255999998</v>
      </c>
      <c r="Y84" s="50">
        <f>'BGS PTY16 Cost Alloc'!Y84</f>
        <v>290628.16566230002</v>
      </c>
      <c r="Z84" s="50">
        <f>'BGS PTY16 Cost Alloc'!Z84</f>
        <v>2466.6237271</v>
      </c>
      <c r="AA84" s="55"/>
      <c r="AB84" s="13">
        <f t="shared" si="9"/>
        <v>109.05266934604752</v>
      </c>
      <c r="AC84" s="13">
        <f t="shared" si="10"/>
        <v>394.6121925038525</v>
      </c>
    </row>
    <row r="85" spans="1:29" x14ac:dyDescent="0.25">
      <c r="A85" s="22"/>
      <c r="B85" s="191" t="s">
        <v>7</v>
      </c>
      <c r="C85" s="508">
        <v>45.53</v>
      </c>
      <c r="D85" s="232">
        <f>ROUND(C85*$H$307,3)</f>
        <v>58.994999999999997</v>
      </c>
      <c r="E85" s="231">
        <v>29.213000000000001</v>
      </c>
      <c r="F85" s="233">
        <f>ROUND(E85*$H$307,3)</f>
        <v>37.851999999999997</v>
      </c>
      <c r="H85" s="176">
        <f>H84</f>
        <v>0.95336004762387205</v>
      </c>
      <c r="I85" s="273">
        <f>I84</f>
        <v>0.89953982005070054</v>
      </c>
      <c r="L85" s="140"/>
      <c r="N85" s="51"/>
      <c r="O85" s="52"/>
      <c r="P85" s="116" t="s">
        <v>25</v>
      </c>
      <c r="Q85" s="68"/>
      <c r="R85" s="44"/>
      <c r="S85" s="116" t="s">
        <v>25</v>
      </c>
      <c r="T85" s="68"/>
      <c r="U85" s="45"/>
      <c r="V85" s="55">
        <f t="shared" si="7"/>
        <v>204710.69834449998</v>
      </c>
      <c r="W85" s="55">
        <f t="shared" si="8"/>
        <v>292376.20392679994</v>
      </c>
      <c r="X85" s="50">
        <f>'BGS PTY16 Cost Alloc'!X85</f>
        <v>3675.0488067000001</v>
      </c>
      <c r="Y85" s="50">
        <f>'BGS PTY16 Cost Alloc'!Y85</f>
        <v>286309.89390169998</v>
      </c>
      <c r="Z85" s="50">
        <f>'BGS PTY16 Cost Alloc'!Z85</f>
        <v>2391.2612184</v>
      </c>
      <c r="AA85" s="55"/>
      <c r="AB85" s="13">
        <f t="shared" si="9"/>
        <v>107.53823180361468</v>
      </c>
      <c r="AC85" s="13">
        <f t="shared" si="10"/>
        <v>389.54867046768521</v>
      </c>
    </row>
    <row r="86" spans="1:29" x14ac:dyDescent="0.25">
      <c r="A86" s="22"/>
      <c r="B86" s="191" t="s">
        <v>8</v>
      </c>
      <c r="C86" s="508">
        <v>41.6</v>
      </c>
      <c r="D86" s="232">
        <f>ROUND(C86*$H$307,3)</f>
        <v>53.902999999999999</v>
      </c>
      <c r="E86" s="231">
        <v>26.690999999999999</v>
      </c>
      <c r="F86" s="233">
        <f>ROUND(E86*$H$307,3)</f>
        <v>34.584000000000003</v>
      </c>
      <c r="H86" s="176">
        <f>H84</f>
        <v>0.95336004762387205</v>
      </c>
      <c r="I86" s="273">
        <f>I84</f>
        <v>0.89953982005070054</v>
      </c>
      <c r="L86" s="140"/>
      <c r="N86" s="51"/>
      <c r="O86" s="52"/>
      <c r="P86" s="114" t="s">
        <v>147</v>
      </c>
      <c r="Q86" s="53">
        <f>Q76-Q65</f>
        <v>9334.9582000000009</v>
      </c>
      <c r="R86" s="47"/>
      <c r="S86" s="114" t="s">
        <v>147</v>
      </c>
      <c r="T86" s="53">
        <f>T76-T65</f>
        <v>3998.0678999999982</v>
      </c>
      <c r="U86" s="48"/>
      <c r="V86" s="55">
        <f t="shared" si="7"/>
        <v>202624.53543850005</v>
      </c>
      <c r="W86" s="55">
        <f t="shared" si="8"/>
        <v>288082.86306</v>
      </c>
      <c r="X86" s="50">
        <f>'BGS PTY16 Cost Alloc'!X86</f>
        <v>3625.2420895</v>
      </c>
      <c r="Y86" s="50">
        <f>'BGS PTY16 Cost Alloc'!Y86</f>
        <v>282139.33959350002</v>
      </c>
      <c r="Z86" s="50">
        <f>'BGS PTY16 Cost Alloc'!Z86</f>
        <v>2318.2813769999998</v>
      </c>
      <c r="AA86" s="55"/>
      <c r="AB86" s="13">
        <f t="shared" si="9"/>
        <v>106.06861625001603</v>
      </c>
      <c r="AC86" s="13">
        <f t="shared" si="10"/>
        <v>384.63878224848406</v>
      </c>
    </row>
    <row r="87" spans="1:29" x14ac:dyDescent="0.25">
      <c r="A87" s="22"/>
      <c r="B87" s="194" t="s">
        <v>9</v>
      </c>
      <c r="C87" s="509">
        <v>35.39</v>
      </c>
      <c r="D87" s="235">
        <f>ROUND(C87*$H$307,3)</f>
        <v>45.856000000000002</v>
      </c>
      <c r="E87" s="234">
        <v>22.707000000000001</v>
      </c>
      <c r="F87" s="236">
        <f>ROUND(E87*$H$307,3)</f>
        <v>29.422000000000001</v>
      </c>
      <c r="H87" s="177">
        <f>H84</f>
        <v>0.95336004762387205</v>
      </c>
      <c r="I87" s="274">
        <f>I84</f>
        <v>0.89953982005070054</v>
      </c>
      <c r="L87" s="140"/>
      <c r="N87" s="64"/>
      <c r="O87" s="65"/>
      <c r="P87" s="117" t="s">
        <v>150</v>
      </c>
      <c r="Q87" s="142">
        <f>Q86*(E113-E114)</f>
        <v>205594.85668255444</v>
      </c>
      <c r="R87" s="58"/>
      <c r="S87" s="117" t="s">
        <v>150</v>
      </c>
      <c r="T87" s="142">
        <f>T86*(H113-H114)</f>
        <v>88005.801070741974</v>
      </c>
      <c r="U87" s="59"/>
      <c r="AA87" s="55"/>
    </row>
    <row r="88" spans="1:29" x14ac:dyDescent="0.25">
      <c r="A88" s="22"/>
      <c r="B88" s="28" t="s">
        <v>10</v>
      </c>
      <c r="C88" s="69">
        <v>33.72</v>
      </c>
      <c r="D88" s="163">
        <f>ROUND(C88*$H$308,3)</f>
        <v>34.682000000000002</v>
      </c>
      <c r="E88" s="67">
        <v>23.591000000000001</v>
      </c>
      <c r="F88" s="163">
        <f>ROUND(E88*$H$308,3)</f>
        <v>24.263999999999999</v>
      </c>
      <c r="H88" s="178">
        <f>H79</f>
        <v>1.0424479436469261</v>
      </c>
      <c r="I88" s="178">
        <f>I79</f>
        <v>1.0344323436374043</v>
      </c>
      <c r="L88" s="140"/>
    </row>
    <row r="89" spans="1:29" x14ac:dyDescent="0.25">
      <c r="A89" s="22"/>
      <c r="B89" s="28" t="s">
        <v>11</v>
      </c>
      <c r="C89" s="69">
        <v>34.020000000000003</v>
      </c>
      <c r="D89" s="163">
        <f>ROUND(C89*$H$308,3)</f>
        <v>34.99</v>
      </c>
      <c r="E89" s="67">
        <v>23.800999999999998</v>
      </c>
      <c r="F89" s="163">
        <f>ROUND(E89*$H$308,3)</f>
        <v>24.48</v>
      </c>
      <c r="H89" s="178">
        <f>H79</f>
        <v>1.0424479436469261</v>
      </c>
      <c r="I89" s="178">
        <f>I79</f>
        <v>1.0344323436374043</v>
      </c>
      <c r="L89" s="140"/>
    </row>
    <row r="90" spans="1:29" x14ac:dyDescent="0.25">
      <c r="A90" s="22"/>
      <c r="B90" s="28" t="s">
        <v>12</v>
      </c>
      <c r="C90" s="69">
        <v>38</v>
      </c>
      <c r="D90" s="163">
        <f>ROUND(C90*$H$308,3)</f>
        <v>39.084000000000003</v>
      </c>
      <c r="E90" s="67">
        <v>26.585999999999999</v>
      </c>
      <c r="F90" s="163">
        <f>ROUND(E90*$H$308,3)</f>
        <v>27.344000000000001</v>
      </c>
      <c r="G90" s="70"/>
      <c r="H90" s="178">
        <f>H79</f>
        <v>1.0424479436469261</v>
      </c>
      <c r="I90" s="178">
        <f>I79</f>
        <v>1.0344323436374043</v>
      </c>
      <c r="L90" s="140"/>
    </row>
    <row r="91" spans="1:29" x14ac:dyDescent="0.25">
      <c r="A91" s="22"/>
      <c r="B91" s="28"/>
      <c r="C91" s="69"/>
      <c r="D91" s="69"/>
      <c r="G91" s="70"/>
      <c r="K91" s="70"/>
      <c r="X91" s="13" t="s">
        <v>210</v>
      </c>
    </row>
    <row r="92" spans="1:29" x14ac:dyDescent="0.25">
      <c r="A92" s="18" t="s">
        <v>33</v>
      </c>
      <c r="B92" s="37" t="s">
        <v>22</v>
      </c>
      <c r="C92" s="26"/>
      <c r="D92" s="26"/>
      <c r="E92" s="26" t="str">
        <f>+E$13</f>
        <v>RT{1}</v>
      </c>
      <c r="F92" s="26" t="str">
        <f>+F$13</f>
        <v>RS{2}</v>
      </c>
      <c r="G92" s="26" t="str">
        <f>+G$13</f>
        <v>GS{3}</v>
      </c>
      <c r="H92" s="26" t="str">
        <f>+H$58</f>
        <v>GST {4}</v>
      </c>
      <c r="I92" s="26" t="str">
        <f>+I$13</f>
        <v>OL/SL</v>
      </c>
      <c r="J92" s="26"/>
      <c r="K92" s="26"/>
      <c r="L92" s="26"/>
      <c r="M92" s="26"/>
      <c r="X92" s="13" t="s">
        <v>205</v>
      </c>
      <c r="Y92" s="71" t="s">
        <v>13</v>
      </c>
      <c r="Z92" s="71" t="s">
        <v>13</v>
      </c>
      <c r="AA92" s="71" t="s">
        <v>207</v>
      </c>
    </row>
    <row r="93" spans="1:29" x14ac:dyDescent="0.25">
      <c r="A93" s="22"/>
      <c r="C93" s="71"/>
      <c r="D93" s="71"/>
      <c r="E93" s="71"/>
      <c r="F93" s="71"/>
      <c r="X93" s="134" t="s">
        <v>206</v>
      </c>
      <c r="Y93" s="38" t="s">
        <v>207</v>
      </c>
      <c r="Z93" s="38" t="s">
        <v>208</v>
      </c>
      <c r="AA93" s="38" t="s">
        <v>209</v>
      </c>
    </row>
    <row r="94" spans="1:29" x14ac:dyDescent="0.25">
      <c r="A94" s="22"/>
      <c r="B94" s="28" t="s">
        <v>23</v>
      </c>
      <c r="C94" s="72"/>
      <c r="D94" s="72"/>
      <c r="E94" s="155">
        <f>'BGS PTY16 Cost Alloc'!E94</f>
        <v>0.105545</v>
      </c>
      <c r="F94" s="155">
        <f>'BGS PTY16 Cost Alloc'!F94</f>
        <v>0.105545</v>
      </c>
      <c r="G94" s="155">
        <f>'BGS PTY16 Cost Alloc'!G94</f>
        <v>0.105545</v>
      </c>
      <c r="H94" s="155">
        <f>'BGS PTY16 Cost Alloc'!H94</f>
        <v>0.105545</v>
      </c>
      <c r="I94" s="155">
        <f>'BGS PTY16 Cost Alloc'!I94</f>
        <v>0.105545</v>
      </c>
      <c r="J94" s="72"/>
      <c r="K94" s="72"/>
      <c r="L94" s="72"/>
      <c r="M94" s="72"/>
      <c r="W94" s="13" t="s">
        <v>181</v>
      </c>
      <c r="X94" s="13">
        <v>4</v>
      </c>
      <c r="Y94" s="13">
        <f>X94*365*5/7</f>
        <v>1042.8571428571429</v>
      </c>
      <c r="Z94" s="13">
        <f>365*24</f>
        <v>8760</v>
      </c>
      <c r="AA94" s="13">
        <f>Y94/Z94</f>
        <v>0.11904761904761905</v>
      </c>
    </row>
    <row r="95" spans="1:29" x14ac:dyDescent="0.25">
      <c r="A95" s="22"/>
      <c r="B95" s="13" t="s">
        <v>20</v>
      </c>
      <c r="C95" s="73"/>
      <c r="D95" s="73"/>
      <c r="E95" s="73">
        <f>1/(1-E94)</f>
        <v>1.1179992285805322</v>
      </c>
      <c r="F95" s="73">
        <f>1/(1-F94)</f>
        <v>1.1179992285805322</v>
      </c>
      <c r="G95" s="73">
        <f>1/(1-G94)</f>
        <v>1.1179992285805322</v>
      </c>
      <c r="H95" s="73">
        <f>1/(1-H94)</f>
        <v>1.1179992285805322</v>
      </c>
      <c r="I95" s="73">
        <f>1/(1-I94)</f>
        <v>1.1179992285805322</v>
      </c>
      <c r="J95" s="73"/>
      <c r="K95" s="73"/>
      <c r="L95" s="73"/>
      <c r="M95" s="73"/>
      <c r="W95" s="13" t="s">
        <v>204</v>
      </c>
      <c r="X95" s="13">
        <f>(9*23+10*29)/52</f>
        <v>9.5576923076923084</v>
      </c>
      <c r="Y95" s="13">
        <f>X95*365*5/7</f>
        <v>2491.8269230769229</v>
      </c>
      <c r="Z95" s="13">
        <f>365*24</f>
        <v>8760</v>
      </c>
      <c r="AA95" s="13">
        <f>Y95/Z95</f>
        <v>0.28445512820512819</v>
      </c>
    </row>
    <row r="96" spans="1:29" x14ac:dyDescent="0.25">
      <c r="A96" s="22"/>
      <c r="C96" s="73"/>
      <c r="D96" s="73"/>
      <c r="E96" s="73"/>
      <c r="F96" s="73"/>
      <c r="G96" s="73"/>
      <c r="H96" s="73"/>
      <c r="I96" s="73"/>
      <c r="J96" s="73"/>
      <c r="K96" s="73"/>
      <c r="L96" s="73"/>
      <c r="M96" s="73"/>
    </row>
    <row r="97" spans="1:24" x14ac:dyDescent="0.25">
      <c r="A97" s="22"/>
      <c r="B97" s="242" t="s">
        <v>268</v>
      </c>
      <c r="C97" s="247"/>
      <c r="D97" s="247"/>
      <c r="E97" s="251">
        <v>9.6174999999999997E-2</v>
      </c>
      <c r="F97" s="251">
        <v>9.6174999999999997E-2</v>
      </c>
      <c r="G97" s="251">
        <v>9.6174999999999997E-2</v>
      </c>
      <c r="H97" s="251">
        <v>9.6174999999999997E-2</v>
      </c>
      <c r="I97" s="251">
        <v>9.6174999999999997E-2</v>
      </c>
      <c r="J97" s="73"/>
      <c r="K97" s="73"/>
      <c r="L97" s="73"/>
      <c r="M97" s="73"/>
    </row>
    <row r="98" spans="1:24" x14ac:dyDescent="0.25">
      <c r="A98" s="22"/>
      <c r="B98" s="242" t="s">
        <v>267</v>
      </c>
      <c r="C98" s="247"/>
      <c r="D98" s="247"/>
      <c r="E98" s="247">
        <v>1.109719568319151</v>
      </c>
      <c r="F98" s="247">
        <v>1.109719568319151</v>
      </c>
      <c r="G98" s="247">
        <v>1.109719568319151</v>
      </c>
      <c r="H98" s="247">
        <v>1.109719568319151</v>
      </c>
      <c r="I98" s="247">
        <v>1.109719568319151</v>
      </c>
      <c r="J98" s="73"/>
      <c r="K98" s="73"/>
      <c r="L98" s="73"/>
      <c r="M98" s="47"/>
      <c r="N98" s="47"/>
      <c r="O98" s="47"/>
      <c r="P98" s="47"/>
      <c r="Q98" s="159"/>
      <c r="R98" s="159"/>
      <c r="S98" s="159"/>
      <c r="T98" s="53"/>
      <c r="U98" s="47"/>
      <c r="V98" s="47"/>
      <c r="W98" s="47"/>
      <c r="X98" s="47"/>
    </row>
    <row r="99" spans="1:24" x14ac:dyDescent="0.25">
      <c r="A99" s="22"/>
      <c r="C99" s="73"/>
      <c r="D99" s="73"/>
      <c r="E99" s="73" t="s">
        <v>256</v>
      </c>
      <c r="F99" s="73"/>
      <c r="G99" s="73"/>
      <c r="H99" s="73"/>
      <c r="I99" s="73"/>
      <c r="J99" s="73"/>
      <c r="K99" s="73"/>
      <c r="L99" s="73"/>
      <c r="M99" s="47"/>
      <c r="N99" s="47"/>
      <c r="O99" s="47"/>
      <c r="P99" s="47"/>
      <c r="Q99" s="159"/>
      <c r="R99" s="159"/>
      <c r="S99" s="159"/>
      <c r="T99" s="53"/>
      <c r="U99" s="47"/>
      <c r="V99" s="47"/>
      <c r="W99" s="47"/>
      <c r="X99" s="47"/>
    </row>
    <row r="100" spans="1:24" x14ac:dyDescent="0.25">
      <c r="A100" s="22"/>
      <c r="C100" s="73"/>
      <c r="D100" s="73"/>
      <c r="E100" s="73"/>
      <c r="F100" s="73"/>
      <c r="G100" s="73"/>
      <c r="H100" s="73"/>
      <c r="I100" s="73"/>
      <c r="J100" s="73"/>
      <c r="K100" s="73"/>
      <c r="L100" s="73"/>
      <c r="M100" s="47"/>
      <c r="N100" s="47"/>
      <c r="O100" s="47"/>
      <c r="P100" s="47"/>
      <c r="Q100" s="47"/>
      <c r="R100" s="47"/>
      <c r="S100" s="47"/>
      <c r="T100" s="47"/>
      <c r="U100" s="47"/>
      <c r="V100" s="47"/>
      <c r="W100" s="47"/>
      <c r="X100" s="47"/>
    </row>
    <row r="101" spans="1:24" x14ac:dyDescent="0.25">
      <c r="A101" s="22"/>
      <c r="B101" s="36" t="s">
        <v>315</v>
      </c>
      <c r="C101" s="73"/>
      <c r="D101" s="73"/>
      <c r="E101" s="73"/>
      <c r="F101" s="73"/>
      <c r="G101" s="73"/>
      <c r="H101" s="73"/>
      <c r="I101" s="73"/>
      <c r="J101" s="73"/>
      <c r="K101" s="73"/>
      <c r="L101" s="73"/>
      <c r="M101" s="47"/>
      <c r="N101" s="47"/>
      <c r="O101" s="47"/>
      <c r="P101" s="47"/>
      <c r="Q101" s="47"/>
      <c r="R101" s="47"/>
      <c r="S101" s="47"/>
      <c r="T101" s="47"/>
      <c r="U101" s="47"/>
      <c r="V101" s="47"/>
      <c r="W101" s="47"/>
      <c r="X101" s="47"/>
    </row>
    <row r="102" spans="1:24" x14ac:dyDescent="0.25">
      <c r="A102" s="22"/>
      <c r="B102" s="36" t="str">
        <f>'BGS PTY16 Cost Alloc'!$B$102</f>
        <v xml:space="preserve"> </v>
      </c>
      <c r="M102" s="47"/>
      <c r="N102" s="47"/>
      <c r="O102" s="47"/>
      <c r="P102" s="47"/>
      <c r="Q102" s="47"/>
      <c r="R102" s="47"/>
      <c r="S102" s="47"/>
      <c r="T102" s="47"/>
      <c r="U102" s="47"/>
      <c r="V102" s="47"/>
      <c r="W102" s="47"/>
      <c r="X102" s="47"/>
    </row>
    <row r="103" spans="1:24" ht="15.6" x14ac:dyDescent="0.3">
      <c r="A103" s="22"/>
      <c r="B103" s="534" t="str">
        <f>$B$1</f>
        <v xml:space="preserve">Jersey Central Power &amp; Light </v>
      </c>
      <c r="C103" s="534"/>
      <c r="D103" s="534"/>
      <c r="E103" s="534"/>
      <c r="F103" s="534"/>
      <c r="G103" s="534"/>
      <c r="H103" s="534"/>
      <c r="I103" s="534"/>
      <c r="J103" s="534"/>
      <c r="K103" s="534"/>
      <c r="L103" s="534"/>
      <c r="M103" s="47"/>
      <c r="N103" s="47"/>
      <c r="O103" s="47"/>
      <c r="P103" s="47"/>
      <c r="Q103" s="47"/>
      <c r="R103" s="47"/>
      <c r="S103" s="47"/>
      <c r="T103" s="47"/>
      <c r="U103" s="47"/>
      <c r="V103" s="47"/>
      <c r="W103" s="47"/>
      <c r="X103" s="47"/>
    </row>
    <row r="104" spans="1:24" ht="15.6" x14ac:dyDescent="0.3">
      <c r="A104" s="22"/>
      <c r="B104" s="534" t="str">
        <f>$B$2</f>
        <v>Attachment 2</v>
      </c>
      <c r="C104" s="534"/>
      <c r="D104" s="534"/>
      <c r="E104" s="534"/>
      <c r="F104" s="534"/>
      <c r="G104" s="534"/>
      <c r="H104" s="534"/>
      <c r="I104" s="534"/>
      <c r="J104" s="534"/>
      <c r="K104" s="534"/>
      <c r="L104" s="534"/>
      <c r="M104" s="47"/>
      <c r="N104" s="47"/>
      <c r="O104" s="47"/>
      <c r="P104" s="47"/>
      <c r="Q104" s="47"/>
      <c r="R104" s="47"/>
      <c r="S104" s="47"/>
      <c r="T104" s="47"/>
      <c r="U104" s="47"/>
      <c r="V104" s="47"/>
      <c r="W104" s="47"/>
      <c r="X104" s="47"/>
    </row>
    <row r="105" spans="1:24" x14ac:dyDescent="0.25">
      <c r="A105" s="22"/>
      <c r="M105" s="47"/>
      <c r="N105" s="47"/>
      <c r="O105" s="47"/>
      <c r="P105" s="47"/>
      <c r="Q105" s="47"/>
      <c r="R105" s="47"/>
      <c r="S105" s="47"/>
      <c r="T105" s="47"/>
      <c r="U105" s="47"/>
      <c r="V105" s="47"/>
      <c r="W105" s="47"/>
      <c r="X105" s="47"/>
    </row>
    <row r="106" spans="1:24" x14ac:dyDescent="0.25">
      <c r="A106" s="22"/>
      <c r="M106" s="47"/>
      <c r="N106" s="47"/>
      <c r="O106" s="47"/>
      <c r="P106" s="47"/>
      <c r="Q106" s="47"/>
      <c r="R106" s="47"/>
      <c r="S106" s="47"/>
      <c r="T106" s="47"/>
      <c r="U106" s="47"/>
      <c r="V106" s="47"/>
      <c r="W106" s="47"/>
      <c r="X106" s="47"/>
    </row>
    <row r="107" spans="1:24" x14ac:dyDescent="0.25">
      <c r="A107" s="18" t="s">
        <v>34</v>
      </c>
      <c r="B107" s="16" t="s">
        <v>51</v>
      </c>
      <c r="M107" s="47"/>
      <c r="N107" s="47"/>
      <c r="O107" s="47"/>
      <c r="P107" s="47"/>
      <c r="Q107" s="47"/>
      <c r="R107" s="47"/>
      <c r="S107" s="47"/>
      <c r="T107" s="47"/>
      <c r="U107" s="47"/>
      <c r="V107" s="47"/>
      <c r="W107" s="47"/>
      <c r="X107" s="47"/>
    </row>
    <row r="108" spans="1:24" x14ac:dyDescent="0.25">
      <c r="A108" s="22"/>
      <c r="B108" s="17" t="s">
        <v>171</v>
      </c>
      <c r="M108" s="47"/>
      <c r="N108" s="47"/>
      <c r="O108" s="47"/>
      <c r="P108" s="47"/>
      <c r="Q108" s="47"/>
      <c r="R108" s="47"/>
      <c r="S108" s="514"/>
      <c r="T108" s="47"/>
      <c r="U108" s="47"/>
      <c r="V108" s="47"/>
      <c r="W108" s="47"/>
      <c r="X108" s="47"/>
    </row>
    <row r="109" spans="1:24" x14ac:dyDescent="0.25">
      <c r="A109" s="22"/>
      <c r="B109" s="17" t="s">
        <v>21</v>
      </c>
      <c r="M109" s="47"/>
      <c r="N109" s="47"/>
      <c r="O109" s="47"/>
      <c r="P109" s="47"/>
      <c r="Q109" s="47"/>
      <c r="R109" s="47"/>
      <c r="S109" s="484"/>
      <c r="T109" s="47"/>
      <c r="U109" s="47"/>
      <c r="V109" s="47"/>
      <c r="W109" s="47"/>
      <c r="X109" s="47"/>
    </row>
    <row r="110" spans="1:24" x14ac:dyDescent="0.25">
      <c r="A110" s="22"/>
      <c r="B110" s="16"/>
      <c r="C110" s="26"/>
      <c r="D110" s="26"/>
      <c r="E110" s="26" t="str">
        <f>+E$13</f>
        <v>RT{1}</v>
      </c>
      <c r="F110" s="26" t="str">
        <f>+F$13</f>
        <v>RS{2}</v>
      </c>
      <c r="G110" s="26" t="str">
        <f>+G$13</f>
        <v>GS{3}</v>
      </c>
      <c r="H110" s="26" t="str">
        <f>+H$58</f>
        <v>GST {4}</v>
      </c>
      <c r="I110" s="26" t="str">
        <f>+I$13</f>
        <v>OL/SL</v>
      </c>
      <c r="J110" s="26"/>
      <c r="K110" s="26"/>
      <c r="L110" s="26"/>
      <c r="M110" s="44"/>
      <c r="N110" s="515"/>
      <c r="O110" s="47"/>
      <c r="P110" s="132"/>
      <c r="Q110" s="47"/>
      <c r="R110" s="47"/>
      <c r="S110" s="47"/>
      <c r="T110" s="47"/>
      <c r="U110" s="47"/>
      <c r="V110" s="47"/>
      <c r="W110" s="47"/>
      <c r="X110" s="47"/>
    </row>
    <row r="111" spans="1:24" x14ac:dyDescent="0.25">
      <c r="A111" s="22"/>
      <c r="M111" s="47"/>
      <c r="N111" s="47"/>
      <c r="O111" s="47"/>
      <c r="P111" s="47"/>
      <c r="Q111" s="47"/>
      <c r="R111" s="114"/>
      <c r="S111" s="517"/>
      <c r="T111" s="47"/>
      <c r="U111" s="47"/>
      <c r="V111" s="47"/>
      <c r="W111" s="47"/>
      <c r="X111" s="47"/>
    </row>
    <row r="112" spans="1:24" x14ac:dyDescent="0.25">
      <c r="A112" s="22"/>
      <c r="B112" s="28" t="s">
        <v>17</v>
      </c>
      <c r="C112" s="74"/>
      <c r="D112" s="74"/>
      <c r="E112" s="75">
        <f>(SUMPRODUCT(E20:E23,E65:E68,$D84:$D87,$H84:$H87)*E95+SUMPRODUCT(Q20:Q23,E65:E68,$F84:$F87,$I84:$I87)*E95)/SUM(E65:E68)</f>
        <v>45.049723144261613</v>
      </c>
      <c r="F112" s="75">
        <f>(SUMPRODUCT(F20:F23,F65:F68,$D84:$D87,$H84:$H87)*F95+SUMPRODUCT(R20:R23,F65:F68,$F84:$F87,$I84:$I87)*F95)/SUM(F65:F68)</f>
        <v>45.128293592928188</v>
      </c>
      <c r="G112" s="75">
        <f>(SUMPRODUCT(G20:G23,G65:G68,$D84:$D87,$H84:$H87)*G95+SUMPRODUCT(S20:S23,G65:G68,$F84:$F87,$I84:$I87)*G95)/SUM(G65:G68)</f>
        <v>46.477978565058294</v>
      </c>
      <c r="H112" s="75">
        <f>(SUMPRODUCT(H20:H23,H65:H68,$D84:$D87,$H84:$H87)*H95+SUMPRODUCT(T20:T23,H65:H68,$F84:$F87,$I84:$I87)*H95)/SUM(H65:H68)</f>
        <v>46.848883224555443</v>
      </c>
      <c r="I112" s="75">
        <f>(SUMPRODUCT(I20:I23,I65:I68,$D84:$D87,$H84:$H87)*I95+SUMPRODUCT(U20:U23,I65:I68,$F84:$F87,$I84:$I87)*I95)/SUM(I65:I68)</f>
        <v>38.714502128812647</v>
      </c>
      <c r="J112" s="76"/>
      <c r="K112" s="74"/>
      <c r="L112" s="74"/>
      <c r="M112" s="518"/>
      <c r="N112" s="47"/>
      <c r="O112" s="47"/>
      <c r="P112" s="47"/>
      <c r="Q112" s="47"/>
      <c r="R112" s="47"/>
      <c r="S112" s="47"/>
      <c r="T112" s="47"/>
      <c r="U112" s="47"/>
      <c r="V112" s="47"/>
      <c r="W112" s="47"/>
      <c r="X112" s="47"/>
    </row>
    <row r="113" spans="1:24" x14ac:dyDescent="0.25">
      <c r="A113" s="22"/>
      <c r="B113" s="77" t="s">
        <v>41</v>
      </c>
      <c r="C113" s="74"/>
      <c r="D113" s="74"/>
      <c r="E113" s="75">
        <f>(SUMPRODUCT(E20:E23,E65:E68,$D84:$D87,$H84:$H87)*E95)/SUMPRODUCT(E20:E23,E65:E68)</f>
        <v>55.620477928319474</v>
      </c>
      <c r="F113" s="75">
        <f>(SUMPRODUCT(F20:F23,F65:F68,$D84:$D87,$H84:$H87)*F95)/SUMPRODUCT(F20:F23,F65:F68)</f>
        <v>55.699736247879727</v>
      </c>
      <c r="G113" s="75">
        <f>(SUMPRODUCT(G20:G23,G65:G68,$D84:$D87,$H84:$H87)*G95)/SUMPRODUCT(G20:G23,G65:G68)</f>
        <v>55.332521784773654</v>
      </c>
      <c r="H113" s="75">
        <f>(SUMPRODUCT(H20:H23,H65:H68,$D84:$D87,$H84:$H87)*H95)/SUMPRODUCT(H20:H23,H65:H68)</f>
        <v>55.90383309701064</v>
      </c>
      <c r="I113" s="75">
        <f>(SUMPRODUCT(I20:I23,I65:I68,$D84:$D87,$H84:$H87)*I95)/SUMPRODUCT(I20:I23,I65:I68)</f>
        <v>54.977321794155266</v>
      </c>
      <c r="J113" s="76"/>
      <c r="K113" s="74"/>
      <c r="L113" s="74"/>
      <c r="M113" s="518"/>
      <c r="N113" s="47"/>
      <c r="O113" s="47"/>
      <c r="P113" s="47"/>
      <c r="Q113" s="47"/>
      <c r="R113" s="47"/>
      <c r="S113" s="522"/>
      <c r="T113" s="47"/>
      <c r="U113" s="47"/>
      <c r="V113" s="47"/>
      <c r="W113" s="47"/>
      <c r="X113" s="47"/>
    </row>
    <row r="114" spans="1:24" x14ac:dyDescent="0.25">
      <c r="A114" s="22"/>
      <c r="B114" s="77" t="s">
        <v>42</v>
      </c>
      <c r="C114" s="74"/>
      <c r="D114" s="74"/>
      <c r="E114" s="75">
        <f>(SUMPRODUCT(Q20:Q23,E65:E68,$F84:$F87,$I84:$I87)*E95)/SUMPRODUCT(Q20:Q23,E65:E68)</f>
        <v>33.596291822959685</v>
      </c>
      <c r="F114" s="75">
        <f>(SUMPRODUCT(R20:R23,F65:F68,$F84:$F87,$I84:$I87)*F95)/SUMPRODUCT(R20:R23,F65:F68)</f>
        <v>33.666944357587099</v>
      </c>
      <c r="G114" s="75">
        <f>(SUMPRODUCT(S20:S23,G65:G68,$F84:$F87,$I84:$I87)*G95)/SUMPRODUCT(S20:S23,G65:G68)</f>
        <v>33.571029907023508</v>
      </c>
      <c r="H114" s="75">
        <f>(SUMPRODUCT(T20:T23,H65:H68,$F84:$F87,$I84:$I87)*H95)/SUMPRODUCT(T20:T23,H65:H68)</f>
        <v>33.89175044310123</v>
      </c>
      <c r="I114" s="75">
        <f>(SUMPRODUCT(U20:U23,I65:I68,$F84:$F87,$I84:$I87)*I95)/SUMPRODUCT(U20:U23,I65:I68)</f>
        <v>33.460192546955035</v>
      </c>
      <c r="J114" s="76"/>
      <c r="K114" s="74"/>
      <c r="L114" s="74"/>
      <c r="M114" s="44"/>
      <c r="N114" s="515"/>
      <c r="O114" s="47"/>
      <c r="P114" s="132"/>
      <c r="Q114" s="47"/>
      <c r="R114" s="47"/>
      <c r="S114" s="47"/>
      <c r="T114" s="47"/>
      <c r="U114" s="47"/>
      <c r="V114" s="47"/>
      <c r="W114" s="47"/>
      <c r="X114" s="47"/>
    </row>
    <row r="115" spans="1:24" x14ac:dyDescent="0.25">
      <c r="A115" s="22"/>
      <c r="C115" s="143"/>
      <c r="D115" s="143"/>
      <c r="E115" s="144"/>
      <c r="F115" s="144"/>
      <c r="G115" s="144"/>
      <c r="H115" s="144"/>
      <c r="I115" s="144"/>
      <c r="J115" s="76"/>
      <c r="K115" s="143"/>
      <c r="L115" s="143"/>
      <c r="M115" s="47"/>
      <c r="N115" s="47"/>
      <c r="O115" s="47"/>
      <c r="P115" s="47"/>
      <c r="Q115" s="47"/>
      <c r="R115" s="114"/>
      <c r="S115" s="517"/>
      <c r="T115" s="47"/>
      <c r="U115" s="47"/>
      <c r="V115" s="47"/>
      <c r="W115" s="47"/>
      <c r="X115" s="47"/>
    </row>
    <row r="116" spans="1:24" x14ac:dyDescent="0.25">
      <c r="A116" s="22"/>
      <c r="B116" s="28" t="s">
        <v>18</v>
      </c>
      <c r="C116" s="74"/>
      <c r="D116" s="74"/>
      <c r="E116" s="75">
        <f>(SUMPRODUCT(E15:E19,E60:E64,$D79:$D83,$H79:$H83)*E95+SUMPRODUCT(Q15:Q19,E60:E64,$F79:$F83,$I79:$I83)*E95+SUMPRODUCT(E24:E26,E69:E71,$D88:$D90,$H88:$H90)*E95+SUMPRODUCT(Q24:Q26,E69:E71,$F88:$F90,$I88:$I90)*E95)/SUM(E60:E64,E69:E71)</f>
        <v>41.434413472125406</v>
      </c>
      <c r="F116" s="75">
        <f>(SUMPRODUCT(F15:F19,F60:F64,$D79:$D83,$H79:$H83)*F95+SUMPRODUCT(R15:R19,F60:F64,$F79:$F83,$I79:$I83)*F95+SUMPRODUCT(F24:F26,F69:F71,$D88:$D90,$H88:$H90)*F95+SUMPRODUCT(R24:R26,F69:F71,$F88:$F90,$I88:$I90)*F95)/SUM(F60:F64,F69:F71)</f>
        <v>41.003587648939479</v>
      </c>
      <c r="G116" s="75">
        <f>(SUMPRODUCT(G15:G19,G60:G64,$D79:$D83,$H79:$H83)*G95+SUMPRODUCT(S15:S19,G60:G64,$F79:$F83,$I79:$I83)*G95+SUMPRODUCT(G24:G26,G69:G71,$D88:$D90,$H88:$H90)*G95+SUMPRODUCT(S24:S26,G69:G71,$F88:$F90,$I88:$I90)*G95)/SUM(G60:G64,G69:G71)</f>
        <v>41.594395064817938</v>
      </c>
      <c r="H116" s="75">
        <f>(SUMPRODUCT(H15:H19,H60:H64,$D79:$D83,$H79:$H83)*H95+SUMPRODUCT(T15:T19,H60:H64,$F79:$F83,$I79:$I83)*H95+SUMPRODUCT(H24:H26,H69:H71,$D88:$D90,$H88:$H90)*H95+SUMPRODUCT(T24:T26,H69:H71,$F88:$F90,$I88:$I90)*H95)/SUM(H60:H64,H69:H71)</f>
        <v>42.07735830397344</v>
      </c>
      <c r="I116" s="75">
        <f>(SUMPRODUCT(I15:I19,I60:I64,$D79:$D83,$H79:$H83)*I95+SUMPRODUCT(U15:U19,I60:I64,$F79:$F83,$I79:$I83)*I95+SUMPRODUCT(I24:I26,I69:I71,$D88:$D90,$H88:$H90)*I95+SUMPRODUCT(U24:U26,I69:I71,$F88:$F90,$I88:$I90)*I95)/SUM(I60:I64,I69:I71)</f>
        <v>37.202507986180741</v>
      </c>
      <c r="J116" s="76"/>
      <c r="K116" s="74"/>
      <c r="L116" s="74"/>
      <c r="M116" s="520"/>
      <c r="N116" s="47"/>
      <c r="O116" s="47"/>
      <c r="P116" s="47"/>
      <c r="Q116" s="47"/>
      <c r="R116" s="47"/>
      <c r="S116" s="47"/>
      <c r="T116" s="47"/>
      <c r="U116" s="47"/>
      <c r="V116" s="47"/>
      <c r="W116" s="47"/>
      <c r="X116" s="47"/>
    </row>
    <row r="117" spans="1:24" x14ac:dyDescent="0.25">
      <c r="A117" s="22"/>
      <c r="B117" s="77" t="s">
        <v>41</v>
      </c>
      <c r="C117" s="74"/>
      <c r="D117" s="74"/>
      <c r="E117" s="75">
        <f>(SUMPRODUCT(E15:E19,E60:E64,$D79:$D83,$H79:$H83)*E95+SUMPRODUCT(E24:E26,E69:E71,$D88:$D90,$H88:$H90)*E95)/(SUMPRODUCT(E15:E19,E60:E64)+SUMPRODUCT(E24:E26,E69:E71))</f>
        <v>49.266939334162956</v>
      </c>
      <c r="F117" s="75">
        <f>(SUMPRODUCT(F15:F19,F60:F64,$D79:$D83,$H79:$H83)*F95+SUMPRODUCT(F24:F26,F69:F71,$D88:$D90,$H88:$H90)*F95)/(SUMPRODUCT(F15:F19,F60:F64)+SUMPRODUCT(F24:F26,F69:F71))</f>
        <v>48.435866256150661</v>
      </c>
      <c r="G117" s="75">
        <f>(SUMPRODUCT(G15:G19,G60:G64,$D79:$D83,$H79:$H83)*G95+SUMPRODUCT(G24:G26,G69:G71,$D88:$D90,$H88:$H90)*G95)/(SUMPRODUCT(G15:G19,G60:G64)+SUMPRODUCT(G24:G26,G69:G71))</f>
        <v>47.591696851288219</v>
      </c>
      <c r="H117" s="75">
        <f>(SUMPRODUCT(H15:H19,H60:H64,$D79:$D83,$H79:$H83)*H95+SUMPRODUCT(H24:H26,H69:H71,$D88:$D90,$H88:$H90)*H95)/(SUMPRODUCT(H15:H19,H60:H64)+SUMPRODUCT(H24:H26,H69:H71))</f>
        <v>48.447554066526706</v>
      </c>
      <c r="I117" s="75">
        <f>(SUMPRODUCT(I15:I19,I60:I64,$D79:$D83,$H79:$H83)*I95+SUMPRODUCT(I24:I26,I69:I71,$D88:$D90,$H88:$H90)*I95)/(SUMPRODUCT(I15:I19,I60:I64)+SUMPRODUCT(I24:I26,I69:I71))</f>
        <v>47.835594436073947</v>
      </c>
      <c r="J117" s="76"/>
      <c r="K117" s="74"/>
      <c r="L117" s="74"/>
      <c r="M117" s="518"/>
      <c r="N117" s="47"/>
      <c r="O117" s="47"/>
      <c r="P117" s="47"/>
      <c r="Q117" s="47"/>
      <c r="R117" s="47"/>
      <c r="S117" s="522"/>
      <c r="T117" s="47"/>
      <c r="U117" s="47"/>
      <c r="V117" s="47"/>
      <c r="W117" s="47"/>
      <c r="X117" s="47"/>
    </row>
    <row r="118" spans="1:24" x14ac:dyDescent="0.25">
      <c r="A118" s="22"/>
      <c r="B118" s="77" t="s">
        <v>42</v>
      </c>
      <c r="C118" s="74"/>
      <c r="D118" s="74"/>
      <c r="E118" s="75">
        <f>(SUMPRODUCT(Q15:Q19,E60:E64,$F79:$F83,$I79:$I83)*E95+SUMPRODUCT(Q24:Q26,E69:E71,$F88:$F90,$I88:$I90)*E95)/(SUMPRODUCT(Q15:Q19,E60:E64)+SUMPRODUCT(Q24:Q26,E69:E71))</f>
        <v>34.158898817950117</v>
      </c>
      <c r="F118" s="75">
        <f>(SUMPRODUCT(R15:R19,F60:F64,$F79:$F83,$I79:$I83)*F95+SUMPRODUCT(R24:R26,F69:F71,$F88:$F90,$I88:$I90)*F95)/(SUMPRODUCT(R15:R19,F60:F64)+SUMPRODUCT(R24:R26,F69:F71))</f>
        <v>33.509289360045514</v>
      </c>
      <c r="G118" s="75">
        <f>(SUMPRODUCT(S15:S19,G60:G64,$F79:$F83,$I79:$I83)*G95+SUMPRODUCT(S24:S26,G69:G71,$F88:$F90,$I88:$I90)*G95)/(SUMPRODUCT(S15:S19,G60:G64)+SUMPRODUCT(S24:S26,G69:G71))</f>
        <v>33.236850804916749</v>
      </c>
      <c r="H118" s="75">
        <f>(SUMPRODUCT(T15:T19,H60:H64,$F79:$F83,$I79:$I83)*H95+SUMPRODUCT(T24:T26,H69:H71,$F88:$F90,$I88:$I90)*H95)/(SUMPRODUCT(T15:T19,H60:H64)+SUMPRODUCT(T24:T26,H69:H71))</f>
        <v>33.902203338822162</v>
      </c>
      <c r="I118" s="75">
        <f>(SUMPRODUCT(U15:U19,I60:I64,$F79:$F83,$I79:$I83)*I95+SUMPRODUCT(U24:U26,I69:I71,$F88:$F90,$I88:$I90)*I95)/(SUMPRODUCT(U15:U19,I60:I64)+SUMPRODUCT(U24:U26,I69:I71))</f>
        <v>32.709740688742222</v>
      </c>
      <c r="J118" s="76"/>
      <c r="K118" s="74"/>
      <c r="L118" s="74"/>
      <c r="M118" s="44"/>
      <c r="N118" s="515"/>
      <c r="O118" s="47"/>
      <c r="P118" s="132"/>
      <c r="Q118" s="47"/>
      <c r="R118" s="47"/>
      <c r="S118" s="47"/>
      <c r="T118" s="47"/>
      <c r="U118" s="47"/>
      <c r="V118" s="47"/>
      <c r="W118" s="47"/>
      <c r="X118" s="47"/>
    </row>
    <row r="119" spans="1:24" x14ac:dyDescent="0.25">
      <c r="A119" s="22"/>
      <c r="C119" s="143"/>
      <c r="D119" s="143"/>
      <c r="E119" s="144"/>
      <c r="F119" s="144"/>
      <c r="G119" s="144"/>
      <c r="H119" s="144"/>
      <c r="I119" s="144"/>
      <c r="J119" s="76"/>
      <c r="K119" s="143"/>
      <c r="L119" s="143"/>
      <c r="M119" s="47"/>
      <c r="N119" s="47"/>
      <c r="O119" s="47"/>
      <c r="P119" s="47"/>
      <c r="Q119" s="47"/>
      <c r="R119" s="114"/>
      <c r="S119" s="517"/>
      <c r="T119" s="47"/>
      <c r="U119" s="47"/>
      <c r="V119" s="47"/>
      <c r="W119" s="47"/>
      <c r="X119" s="47"/>
    </row>
    <row r="120" spans="1:24" x14ac:dyDescent="0.25">
      <c r="A120" s="22"/>
      <c r="B120" s="13" t="s">
        <v>16</v>
      </c>
      <c r="C120" s="74"/>
      <c r="D120" s="78"/>
      <c r="E120" s="79">
        <f>(E112*SUM(E65:E68)+E116*SUM(E60:E64,E69:E71))/E72</f>
        <v>42.601185797999619</v>
      </c>
      <c r="F120" s="79">
        <f>(F112*SUM(F65:F68)+F116*SUM(F60:F64,F69:F71))/F72</f>
        <v>42.716640821202262</v>
      </c>
      <c r="G120" s="79">
        <f>(G112*SUM(G65:G68)+G116*SUM(G60:G64,G69:G71))/G72</f>
        <v>43.379677420707623</v>
      </c>
      <c r="H120" s="79">
        <f>(H112*SUM(H65:H68)+H116*SUM(H60:H64,H69:H71))/H72</f>
        <v>43.3959831212523</v>
      </c>
      <c r="I120" s="79">
        <f>(I112*SUM(I65:I68)+I116*SUM(I60:I64,I69:I71))/I72</f>
        <v>37.706223802932222</v>
      </c>
      <c r="J120" s="76"/>
      <c r="K120" s="78"/>
      <c r="L120" s="78"/>
      <c r="M120" s="518"/>
      <c r="N120" s="47"/>
      <c r="O120" s="47"/>
      <c r="P120" s="47"/>
      <c r="Q120" s="47"/>
      <c r="R120" s="47"/>
      <c r="S120" s="47"/>
      <c r="T120" s="47"/>
      <c r="U120" s="47"/>
      <c r="V120" s="47"/>
      <c r="W120" s="47"/>
      <c r="X120" s="47"/>
    </row>
    <row r="121" spans="1:24" x14ac:dyDescent="0.25">
      <c r="A121" s="22"/>
      <c r="C121" s="74"/>
      <c r="D121" s="78"/>
      <c r="E121" s="78"/>
      <c r="F121" s="78"/>
      <c r="G121" s="78"/>
      <c r="H121" s="78"/>
      <c r="I121" s="78"/>
      <c r="J121" s="78"/>
      <c r="K121" s="78"/>
      <c r="L121" s="78"/>
      <c r="M121" s="518"/>
      <c r="N121" s="47"/>
      <c r="O121" s="47"/>
      <c r="P121" s="47"/>
      <c r="Q121" s="47"/>
      <c r="R121" s="47"/>
      <c r="S121" s="522"/>
      <c r="T121" s="47"/>
      <c r="U121" s="47"/>
      <c r="V121" s="47"/>
      <c r="W121" s="47"/>
      <c r="X121" s="47"/>
    </row>
    <row r="122" spans="1:24" x14ac:dyDescent="0.25">
      <c r="A122" s="22"/>
      <c r="B122" s="13" t="s">
        <v>44</v>
      </c>
      <c r="C122" s="80">
        <f>SUMPRODUCT(C120:I120,C72:I72)/SUM(C72:I72)</f>
        <v>42.942386797307741</v>
      </c>
      <c r="D122" s="78"/>
      <c r="E122" s="78"/>
      <c r="F122" s="78"/>
      <c r="G122" s="78"/>
      <c r="H122" s="78"/>
      <c r="I122" s="78"/>
      <c r="J122" s="78"/>
      <c r="K122" s="78"/>
      <c r="L122" s="78"/>
      <c r="M122" s="44"/>
      <c r="N122" s="515"/>
      <c r="O122" s="47"/>
      <c r="P122" s="132"/>
      <c r="Q122" s="47"/>
      <c r="R122" s="47"/>
      <c r="S122" s="47"/>
      <c r="T122" s="47"/>
      <c r="U122" s="47"/>
      <c r="V122" s="47"/>
      <c r="W122" s="47"/>
      <c r="X122" s="47"/>
    </row>
    <row r="123" spans="1:24" x14ac:dyDescent="0.25">
      <c r="A123" s="22"/>
      <c r="C123" s="74"/>
      <c r="D123" s="78"/>
      <c r="E123" s="78"/>
      <c r="F123" s="78"/>
      <c r="G123" s="78"/>
      <c r="H123" s="78"/>
      <c r="I123" s="78"/>
      <c r="J123" s="78"/>
      <c r="K123" s="78"/>
      <c r="L123" s="78"/>
      <c r="M123" s="47"/>
      <c r="N123" s="47"/>
      <c r="O123" s="47"/>
      <c r="P123" s="47"/>
      <c r="Q123" s="47"/>
      <c r="R123" s="114"/>
      <c r="S123" s="517"/>
      <c r="T123" s="47"/>
      <c r="U123" s="47"/>
      <c r="V123" s="47"/>
      <c r="W123" s="47"/>
      <c r="X123" s="47"/>
    </row>
    <row r="124" spans="1:24" x14ac:dyDescent="0.25">
      <c r="A124" s="22"/>
      <c r="C124" s="78"/>
      <c r="D124" s="78"/>
      <c r="E124" s="78"/>
      <c r="F124" s="78"/>
      <c r="G124" s="78"/>
      <c r="H124" s="78"/>
      <c r="I124" s="78"/>
      <c r="J124" s="78"/>
      <c r="K124" s="78"/>
      <c r="L124" s="78"/>
      <c r="M124" s="518"/>
      <c r="N124" s="47"/>
      <c r="O124" s="47"/>
      <c r="P124" s="47"/>
      <c r="Q124" s="47"/>
      <c r="R124" s="47"/>
      <c r="S124" s="47"/>
      <c r="T124" s="47"/>
      <c r="U124" s="47"/>
      <c r="V124" s="47"/>
      <c r="W124" s="47"/>
      <c r="X124" s="47"/>
    </row>
    <row r="125" spans="1:24" x14ac:dyDescent="0.25">
      <c r="A125" s="18" t="s">
        <v>35</v>
      </c>
      <c r="B125" s="16" t="s">
        <v>49</v>
      </c>
      <c r="C125" s="78"/>
      <c r="D125" s="78"/>
      <c r="E125" s="78"/>
      <c r="F125" s="78"/>
      <c r="G125" s="78"/>
      <c r="H125" s="78"/>
      <c r="I125" s="78"/>
      <c r="J125" s="78"/>
      <c r="K125" s="78"/>
      <c r="L125" s="78"/>
      <c r="M125" s="518"/>
      <c r="N125" s="47"/>
      <c r="O125" s="47"/>
      <c r="P125" s="47"/>
      <c r="Q125" s="47"/>
      <c r="R125" s="47"/>
      <c r="S125" s="522"/>
      <c r="T125" s="47"/>
      <c r="U125" s="47"/>
      <c r="V125" s="47"/>
      <c r="W125" s="47"/>
      <c r="X125" s="47"/>
    </row>
    <row r="126" spans="1:24" x14ac:dyDescent="0.25">
      <c r="A126" s="22"/>
      <c r="B126" s="17" t="s">
        <v>172</v>
      </c>
      <c r="C126" s="78"/>
      <c r="D126" s="78"/>
      <c r="E126" s="78"/>
      <c r="F126" s="78"/>
      <c r="G126" s="78"/>
      <c r="H126" s="78"/>
      <c r="I126" s="78"/>
      <c r="J126" s="78"/>
      <c r="K126" s="78"/>
      <c r="L126" s="78"/>
      <c r="M126" s="44"/>
      <c r="N126" s="515"/>
      <c r="O126" s="47"/>
      <c r="P126" s="132"/>
      <c r="Q126" s="47"/>
      <c r="R126" s="47"/>
      <c r="S126" s="47"/>
      <c r="T126" s="47"/>
      <c r="U126" s="47"/>
      <c r="V126" s="47"/>
      <c r="W126" s="47"/>
      <c r="X126" s="47"/>
    </row>
    <row r="127" spans="1:24" x14ac:dyDescent="0.25">
      <c r="A127" s="22"/>
      <c r="B127" s="17" t="s">
        <v>43</v>
      </c>
      <c r="C127" s="78"/>
      <c r="D127" s="78"/>
      <c r="E127" s="78"/>
      <c r="F127" s="78"/>
      <c r="G127" s="78"/>
      <c r="H127" s="78"/>
      <c r="I127" s="78"/>
      <c r="J127" s="78"/>
      <c r="K127" s="78"/>
      <c r="L127" s="78"/>
      <c r="M127" s="47"/>
      <c r="N127" s="47"/>
      <c r="O127" s="47"/>
      <c r="P127" s="47"/>
      <c r="Q127" s="47"/>
      <c r="R127" s="114"/>
      <c r="S127" s="517"/>
      <c r="T127" s="47"/>
      <c r="U127" s="47"/>
      <c r="V127" s="47"/>
      <c r="W127" s="47"/>
      <c r="X127" s="47"/>
    </row>
    <row r="128" spans="1:24" x14ac:dyDescent="0.25">
      <c r="A128" s="22"/>
      <c r="B128" s="16"/>
      <c r="C128" s="26"/>
      <c r="D128" s="26"/>
      <c r="E128" s="26" t="str">
        <f>+E$13</f>
        <v>RT{1}</v>
      </c>
      <c r="F128" s="26" t="str">
        <f>+F$13</f>
        <v>RS{2}</v>
      </c>
      <c r="G128" s="26" t="str">
        <f>+G$13</f>
        <v>GS{3}</v>
      </c>
      <c r="H128" s="26" t="str">
        <f>+H$58</f>
        <v>GST {4}</v>
      </c>
      <c r="I128" s="26" t="str">
        <f>+I$13</f>
        <v>OL/SL</v>
      </c>
      <c r="J128" s="26" t="s">
        <v>13</v>
      </c>
      <c r="K128" s="26"/>
      <c r="L128" s="26"/>
      <c r="M128" s="44"/>
      <c r="N128" s="47"/>
      <c r="O128" s="47"/>
      <c r="P128" s="47"/>
      <c r="Q128" s="47"/>
      <c r="R128" s="47"/>
      <c r="S128" s="47"/>
      <c r="T128" s="47"/>
      <c r="U128" s="47"/>
      <c r="V128" s="47"/>
      <c r="W128" s="47"/>
      <c r="X128" s="47"/>
    </row>
    <row r="129" spans="1:24" x14ac:dyDescent="0.25">
      <c r="A129" s="22"/>
      <c r="C129" s="81"/>
      <c r="M129" s="516"/>
      <c r="N129" s="47"/>
      <c r="O129" s="47"/>
      <c r="P129" s="47"/>
      <c r="Q129" s="47"/>
      <c r="R129" s="47"/>
      <c r="S129" s="522"/>
      <c r="T129" s="47"/>
      <c r="U129" s="47"/>
      <c r="V129" s="47"/>
      <c r="W129" s="47"/>
      <c r="X129" s="47"/>
    </row>
    <row r="130" spans="1:24" x14ac:dyDescent="0.25">
      <c r="A130" s="22"/>
      <c r="B130" s="28" t="s">
        <v>17</v>
      </c>
      <c r="C130" s="76"/>
      <c r="D130" s="76"/>
      <c r="E130" s="76">
        <f>SUM(E65:E68)*E112/1000</f>
        <v>3432.3384063612921</v>
      </c>
      <c r="F130" s="76">
        <f>SUM(F65:F68)*F112/1000</f>
        <v>165328.54152844506</v>
      </c>
      <c r="G130" s="76">
        <f>SUM(G65:G68)*G112/1000</f>
        <v>101674.29634935023</v>
      </c>
      <c r="H130" s="76">
        <f>SUM(H65:H68)*H112/1000</f>
        <v>1528.0231752521004</v>
      </c>
      <c r="I130" s="76">
        <f>SUM(I65:I68)*I112/1000</f>
        <v>1474.0546685545416</v>
      </c>
      <c r="J130" s="76">
        <f>SUM(E130:I130)</f>
        <v>273437.25412796321</v>
      </c>
      <c r="K130" s="76"/>
      <c r="L130" s="76"/>
      <c r="M130" s="44"/>
      <c r="N130" s="515"/>
      <c r="O130" s="47"/>
      <c r="P130" s="132"/>
      <c r="Q130" s="47"/>
      <c r="R130" s="47"/>
      <c r="S130" s="47"/>
      <c r="T130" s="47"/>
      <c r="U130" s="47"/>
      <c r="V130" s="47"/>
      <c r="W130" s="47"/>
      <c r="X130" s="47"/>
    </row>
    <row r="131" spans="1:24" x14ac:dyDescent="0.25">
      <c r="A131" s="22"/>
      <c r="B131" s="77" t="s">
        <v>41</v>
      </c>
      <c r="C131" s="76"/>
      <c r="D131" s="76"/>
      <c r="E131" s="76">
        <f>SUMPRODUCT(E65:E68,E20:E23)*E113/1000</f>
        <v>2203.7810162033556</v>
      </c>
      <c r="F131" s="76">
        <f>SUMPRODUCT(F65:F68,F20:F23)*F113/1000</f>
        <v>106149.57868084387</v>
      </c>
      <c r="G131" s="76">
        <f>SUMPRODUCT(G65:G68,G20:G23)*G113/1000</f>
        <v>71792.540999765493</v>
      </c>
      <c r="H131" s="76">
        <f>SUMPRODUCT(H65:H68,H20:H23)*H113/1000</f>
        <v>1073.2973562065085</v>
      </c>
      <c r="I131" s="76">
        <f>SUMPRODUCT(I65:I68,I20:I23)*I113/1000</f>
        <v>511.15759792737663</v>
      </c>
      <c r="J131" s="76">
        <f>SUM(E131:I131)</f>
        <v>181730.35565094661</v>
      </c>
      <c r="K131" s="76"/>
      <c r="L131" s="76"/>
      <c r="M131" s="47"/>
      <c r="N131" s="47"/>
      <c r="O131" s="47"/>
      <c r="P131" s="47"/>
      <c r="Q131" s="47"/>
      <c r="R131" s="114"/>
      <c r="S131" s="517"/>
      <c r="T131" s="47"/>
      <c r="U131" s="47"/>
      <c r="V131" s="47"/>
      <c r="W131" s="47"/>
      <c r="X131" s="47"/>
    </row>
    <row r="132" spans="1:24" x14ac:dyDescent="0.25">
      <c r="A132" s="22"/>
      <c r="B132" s="77" t="s">
        <v>42</v>
      </c>
      <c r="C132" s="76"/>
      <c r="D132" s="76"/>
      <c r="E132" s="76">
        <f>SUMPRODUCT(E65:E68,Q20:Q23)*E114/1000</f>
        <v>1228.5573901579364</v>
      </c>
      <c r="F132" s="76">
        <f>SUMPRODUCT(F65:F68,R20:R23)*F114/1000</f>
        <v>59178.962847601186</v>
      </c>
      <c r="G132" s="76">
        <f>SUMPRODUCT(G65:G68,S20:S23)*G114/1000</f>
        <v>29881.755349584724</v>
      </c>
      <c r="H132" s="76">
        <f>SUMPRODUCT(H65:H68,T20:T23)*H114/1000</f>
        <v>454.72581904559195</v>
      </c>
      <c r="I132" s="76">
        <f>SUMPRODUCT(I65:I68,U20:U23)*I114/1000</f>
        <v>962.89707062716491</v>
      </c>
      <c r="J132" s="76">
        <f>SUM(E132:I132)</f>
        <v>91706.898477016599</v>
      </c>
      <c r="K132" s="76"/>
      <c r="L132" s="76"/>
      <c r="M132" s="523"/>
      <c r="N132" s="47"/>
      <c r="O132" s="47"/>
      <c r="P132" s="47"/>
      <c r="Q132" s="47"/>
      <c r="R132" s="47"/>
      <c r="S132" s="47"/>
      <c r="T132" s="47"/>
      <c r="U132" s="47"/>
      <c r="V132" s="47"/>
      <c r="W132" s="47"/>
      <c r="X132" s="47"/>
    </row>
    <row r="133" spans="1:24" x14ac:dyDescent="0.25">
      <c r="A133" s="22"/>
      <c r="C133" s="82"/>
      <c r="D133" s="82"/>
      <c r="E133" s="82"/>
      <c r="F133" s="82"/>
      <c r="G133" s="82"/>
      <c r="H133" s="82"/>
      <c r="I133" s="82"/>
      <c r="J133" s="76"/>
      <c r="K133" s="82"/>
      <c r="L133" s="82"/>
      <c r="M133" s="516"/>
      <c r="N133" s="47"/>
      <c r="O133" s="47"/>
      <c r="P133" s="47"/>
      <c r="Q133" s="47"/>
      <c r="R133" s="47"/>
      <c r="S133" s="522"/>
      <c r="T133" s="47"/>
      <c r="U133" s="47"/>
      <c r="V133" s="47"/>
      <c r="W133" s="47"/>
      <c r="X133" s="47"/>
    </row>
    <row r="134" spans="1:24" x14ac:dyDescent="0.25">
      <c r="A134" s="22"/>
      <c r="B134" s="28" t="s">
        <v>18</v>
      </c>
      <c r="C134" s="82"/>
      <c r="D134" s="82"/>
      <c r="E134" s="82">
        <f>SUM(E60:E64,E69:E71)*E116/1000</f>
        <v>6624.9069356446589</v>
      </c>
      <c r="F134" s="82">
        <f>SUM(F60:F64,F69:F71)*F116/1000</f>
        <v>211477.76645367427</v>
      </c>
      <c r="G134" s="82">
        <f>SUM(G60:G64,G69:G71)*G116/1000</f>
        <v>157912.12259809973</v>
      </c>
      <c r="H134" s="82">
        <f>SUM(H60:H64,H69:H71)*H116/1000</f>
        <v>3593.7009406674597</v>
      </c>
      <c r="I134" s="82">
        <f>SUM(I60:I64,I69:I71)*I116/1000</f>
        <v>2835.351943658779</v>
      </c>
      <c r="J134" s="76">
        <f>SUM(E134:I134)</f>
        <v>382443.84887174488</v>
      </c>
      <c r="K134" s="82"/>
      <c r="L134" s="82"/>
      <c r="M134" s="44"/>
      <c r="N134" s="515"/>
      <c r="O134" s="47"/>
      <c r="P134" s="132"/>
      <c r="Q134" s="47"/>
      <c r="R134" s="47"/>
      <c r="S134" s="47"/>
      <c r="T134" s="47"/>
      <c r="U134" s="47"/>
      <c r="V134" s="47"/>
      <c r="W134" s="47"/>
      <c r="X134" s="47"/>
    </row>
    <row r="135" spans="1:24" x14ac:dyDescent="0.25">
      <c r="A135" s="22"/>
      <c r="B135" s="77" t="s">
        <v>41</v>
      </c>
      <c r="C135" s="76"/>
      <c r="D135" s="76"/>
      <c r="E135" s="76">
        <f>(SUMPRODUCT(E60:E64,E15:E19)+SUMPRODUCT(E69:E71,E24:E26))*E117/1000</f>
        <v>3793.4096809966622</v>
      </c>
      <c r="F135" s="76">
        <f>(SUMPRODUCT(F60:F64,F15:F19)+SUMPRODUCT(F69:F71,F24:F26))*F117/1000</f>
        <v>125424.00983213588</v>
      </c>
      <c r="G135" s="76">
        <f>(SUMPRODUCT(G60:G64,G15:G19)+SUMPRODUCT(G69:G71,G24:G26))*G117/1000</f>
        <v>105194.2482643159</v>
      </c>
      <c r="H135" s="76">
        <f>(SUMPRODUCT(H60:H64,H15:H19)+SUMPRODUCT(H69:H71,H24:H26))*H117/1000</f>
        <v>2325.6112476731055</v>
      </c>
      <c r="I135" s="76">
        <f>(SUMPRODUCT(I60:I64,I15:I19)+SUMPRODUCT(I69:I71,I24:I26))*I117/1000</f>
        <v>1082.879067901051</v>
      </c>
      <c r="J135" s="76">
        <f>SUM(E135:I135)</f>
        <v>237820.15809302259</v>
      </c>
      <c r="K135" s="76"/>
      <c r="L135" s="76"/>
      <c r="M135" s="47"/>
      <c r="N135" s="47"/>
      <c r="O135" s="47"/>
      <c r="P135" s="426"/>
      <c r="Q135" s="47"/>
      <c r="R135" s="114"/>
      <c r="S135" s="517"/>
      <c r="T135" s="47"/>
      <c r="U135" s="47"/>
      <c r="V135" s="47"/>
      <c r="W135" s="47"/>
      <c r="X135" s="47"/>
    </row>
    <row r="136" spans="1:24" x14ac:dyDescent="0.25">
      <c r="A136" s="22"/>
      <c r="B136" s="77" t="s">
        <v>42</v>
      </c>
      <c r="C136" s="76"/>
      <c r="D136" s="76"/>
      <c r="E136" s="76">
        <f>+(SUMPRODUCT(E60:E64,Q15:Q19)+SUMPRODUCT(E69:E71,Q24:Q26))*E118/1000</f>
        <v>2831.4972546479967</v>
      </c>
      <c r="F136" s="76">
        <f>+(SUMPRODUCT(F60:F64,R15:R19)+SUMPRODUCT(F69:F71,R24:R26))*F118/1000</f>
        <v>86053.756621538327</v>
      </c>
      <c r="G136" s="76">
        <f>+(SUMPRODUCT(G60:G64,S15:S19)+SUMPRODUCT(G69:G71,S24:S26))*G118/1000</f>
        <v>52717.874333783839</v>
      </c>
      <c r="H136" s="76">
        <f>+(SUMPRODUCT(H60:H64,T15:T19)+SUMPRODUCT(H69:H71,T24:T26))*H118/1000</f>
        <v>1268.0896929943542</v>
      </c>
      <c r="I136" s="76">
        <f>+(SUMPRODUCT(I60:I64,U15:U19)+SUMPRODUCT(I69:I71,U24:U26))*I118/1000</f>
        <v>1752.4728757577282</v>
      </c>
      <c r="J136" s="76">
        <f>SUM(E136:I136)</f>
        <v>144623.69077872223</v>
      </c>
      <c r="K136" s="76"/>
      <c r="L136" s="76"/>
      <c r="M136" s="521"/>
      <c r="N136" s="47"/>
      <c r="O136" s="47"/>
      <c r="P136" s="47"/>
      <c r="Q136" s="47"/>
      <c r="R136" s="47"/>
      <c r="S136" s="47"/>
      <c r="T136" s="47"/>
      <c r="U136" s="47"/>
      <c r="V136" s="47"/>
      <c r="W136" s="47"/>
      <c r="X136" s="47"/>
    </row>
    <row r="137" spans="1:24" x14ac:dyDescent="0.25">
      <c r="A137" s="22"/>
      <c r="C137" s="143"/>
      <c r="D137" s="143"/>
      <c r="E137" s="143"/>
      <c r="F137" s="143"/>
      <c r="G137" s="143"/>
      <c r="H137" s="143"/>
      <c r="I137" s="143"/>
      <c r="J137" s="76"/>
      <c r="K137" s="143"/>
      <c r="L137" s="143"/>
      <c r="M137" s="516"/>
      <c r="N137" s="47"/>
      <c r="O137" s="47"/>
      <c r="P137" s="47"/>
      <c r="Q137" s="47"/>
      <c r="R137" s="47"/>
      <c r="S137" s="522"/>
      <c r="T137" s="47"/>
      <c r="U137" s="47"/>
      <c r="V137" s="47"/>
      <c r="W137" s="47"/>
      <c r="X137" s="47"/>
    </row>
    <row r="138" spans="1:24" x14ac:dyDescent="0.25">
      <c r="A138" s="22"/>
      <c r="B138" s="13" t="s">
        <v>16</v>
      </c>
      <c r="C138" s="82"/>
      <c r="D138" s="82"/>
      <c r="E138" s="82">
        <f>+E130+E134</f>
        <v>10057.24534200595</v>
      </c>
      <c r="F138" s="82">
        <f>+F130+F134</f>
        <v>376806.30798211932</v>
      </c>
      <c r="G138" s="82">
        <f>+G130+G134</f>
        <v>259586.41894744994</v>
      </c>
      <c r="H138" s="82">
        <f>+H130+H134</f>
        <v>5121.7241159195601</v>
      </c>
      <c r="I138" s="82">
        <f>+I130+I134</f>
        <v>4309.4066122133208</v>
      </c>
      <c r="J138" s="76">
        <f>SUM(E138:I138)</f>
        <v>655881.10299970815</v>
      </c>
      <c r="K138" s="82"/>
      <c r="L138" s="82"/>
      <c r="M138" s="44"/>
      <c r="N138" s="515"/>
      <c r="O138" s="47"/>
      <c r="P138" s="132"/>
      <c r="Q138" s="47"/>
      <c r="R138" s="47"/>
      <c r="S138" s="47"/>
      <c r="T138" s="47"/>
      <c r="U138" s="47"/>
      <c r="V138" s="47"/>
      <c r="W138" s="47"/>
      <c r="X138" s="47"/>
    </row>
    <row r="139" spans="1:24" x14ac:dyDescent="0.25">
      <c r="A139" s="22"/>
      <c r="M139" s="47"/>
      <c r="N139" s="47"/>
      <c r="O139" s="47"/>
      <c r="P139" s="426"/>
      <c r="Q139" s="47"/>
      <c r="R139" s="114"/>
      <c r="S139" s="517"/>
      <c r="T139" s="47"/>
      <c r="U139" s="47"/>
      <c r="V139" s="47"/>
      <c r="W139" s="47"/>
      <c r="X139" s="47"/>
    </row>
    <row r="140" spans="1:24" x14ac:dyDescent="0.25">
      <c r="A140" s="22"/>
      <c r="B140" s="13" t="s">
        <v>44</v>
      </c>
      <c r="C140" s="76">
        <f>SUM(C138:I138)</f>
        <v>655881.10299970815</v>
      </c>
      <c r="E140" s="83"/>
      <c r="F140" s="74"/>
      <c r="M140" s="47"/>
      <c r="N140" s="47"/>
      <c r="O140" s="47"/>
      <c r="P140" s="47"/>
      <c r="Q140" s="47"/>
      <c r="R140" s="47"/>
      <c r="S140" s="47"/>
      <c r="T140" s="47"/>
      <c r="U140" s="47"/>
      <c r="V140" s="47"/>
      <c r="W140" s="47"/>
      <c r="X140" s="47"/>
    </row>
    <row r="141" spans="1:24" x14ac:dyDescent="0.25">
      <c r="A141" s="22"/>
      <c r="M141" s="47"/>
      <c r="N141" s="47"/>
      <c r="O141" s="47"/>
      <c r="P141" s="47"/>
      <c r="Q141" s="47"/>
      <c r="R141" s="47"/>
      <c r="S141" s="47"/>
      <c r="T141" s="47"/>
      <c r="U141" s="47"/>
      <c r="V141" s="47"/>
      <c r="W141" s="47"/>
      <c r="X141" s="47"/>
    </row>
    <row r="142" spans="1:24" x14ac:dyDescent="0.25">
      <c r="A142" s="22"/>
      <c r="M142" s="47"/>
      <c r="N142" s="47"/>
      <c r="O142" s="47"/>
      <c r="P142" s="47"/>
      <c r="Q142" s="47"/>
      <c r="R142" s="47"/>
      <c r="S142" s="47"/>
      <c r="T142" s="47"/>
      <c r="U142" s="47"/>
      <c r="V142" s="47"/>
      <c r="W142" s="47"/>
      <c r="X142" s="47"/>
    </row>
    <row r="143" spans="1:24" ht="15.6" x14ac:dyDescent="0.3">
      <c r="A143" s="22"/>
      <c r="B143" s="534" t="str">
        <f>$B$1</f>
        <v xml:space="preserve">Jersey Central Power &amp; Light </v>
      </c>
      <c r="C143" s="534"/>
      <c r="D143" s="534"/>
      <c r="E143" s="534"/>
      <c r="F143" s="534"/>
      <c r="G143" s="534"/>
      <c r="H143" s="534"/>
      <c r="I143" s="534"/>
      <c r="J143" s="534"/>
      <c r="K143" s="534"/>
      <c r="L143" s="534"/>
    </row>
    <row r="144" spans="1:24" ht="15.6" x14ac:dyDescent="0.3">
      <c r="A144" s="22"/>
      <c r="B144" s="534" t="str">
        <f>$B$2</f>
        <v>Attachment 2</v>
      </c>
      <c r="C144" s="534"/>
      <c r="D144" s="534"/>
      <c r="E144" s="534"/>
      <c r="F144" s="534"/>
      <c r="G144" s="534"/>
      <c r="H144" s="534"/>
      <c r="I144" s="534"/>
      <c r="J144" s="534"/>
      <c r="K144" s="534"/>
      <c r="L144" s="534"/>
    </row>
    <row r="145" spans="1:51" x14ac:dyDescent="0.25">
      <c r="A145" s="22"/>
    </row>
    <row r="146" spans="1:51" x14ac:dyDescent="0.25">
      <c r="A146" s="22"/>
    </row>
    <row r="147" spans="1:51" x14ac:dyDescent="0.25">
      <c r="A147" s="18" t="s">
        <v>70</v>
      </c>
      <c r="B147" s="16" t="s">
        <v>71</v>
      </c>
      <c r="C147" s="78"/>
      <c r="Q147" s="13" t="s">
        <v>126</v>
      </c>
      <c r="T147" s="13" t="s">
        <v>122</v>
      </c>
      <c r="W147" s="13" t="s">
        <v>123</v>
      </c>
    </row>
    <row r="148" spans="1:51" x14ac:dyDescent="0.25">
      <c r="A148" s="22"/>
      <c r="B148" s="17" t="s">
        <v>173</v>
      </c>
      <c r="C148" s="78"/>
      <c r="W148" s="13" t="s">
        <v>127</v>
      </c>
    </row>
    <row r="149" spans="1:51" x14ac:dyDescent="0.25">
      <c r="A149" s="22"/>
      <c r="B149" s="17" t="s">
        <v>21</v>
      </c>
      <c r="C149" s="78"/>
    </row>
    <row r="150" spans="1:51" x14ac:dyDescent="0.25">
      <c r="A150" s="22"/>
      <c r="B150" s="16"/>
      <c r="C150" s="26"/>
      <c r="D150" s="26"/>
      <c r="E150" s="26" t="str">
        <f>+E$13</f>
        <v>RT{1}</v>
      </c>
      <c r="F150" s="26" t="str">
        <f>+F$13</f>
        <v>RS{2}</v>
      </c>
      <c r="G150" s="26" t="str">
        <f>+G$13</f>
        <v>GS{3}</v>
      </c>
      <c r="H150" s="26" t="str">
        <f>+H$58</f>
        <v>GST {4}</v>
      </c>
      <c r="I150" s="26" t="str">
        <f>+I$13</f>
        <v>OL/SL</v>
      </c>
      <c r="J150" s="26"/>
      <c r="K150" s="26"/>
      <c r="L150" s="26"/>
      <c r="M150" s="26"/>
      <c r="Q150" s="26" t="str">
        <f>+$H150</f>
        <v>GST {4}</v>
      </c>
      <c r="R150" s="26"/>
      <c r="S150" s="26"/>
      <c r="T150" s="26" t="str">
        <f>+$H150</f>
        <v>GST {4}</v>
      </c>
      <c r="U150" s="26"/>
      <c r="V150" s="26"/>
      <c r="W150" s="26" t="str">
        <f>+$H150</f>
        <v>GST {4}</v>
      </c>
      <c r="X150" s="26"/>
      <c r="Z150" s="26"/>
      <c r="AA150" s="26"/>
      <c r="AC150" s="26"/>
      <c r="AD150" s="26"/>
      <c r="AU150" s="26" t="str">
        <f>+E$13</f>
        <v>RT{1}</v>
      </c>
      <c r="AV150" s="26" t="str">
        <f>+F$13</f>
        <v>RS{2}</v>
      </c>
      <c r="AW150" s="26" t="str">
        <f>+G$13</f>
        <v>GS{3}</v>
      </c>
      <c r="AX150" s="26" t="str">
        <f>+H$13</f>
        <v>GST</v>
      </c>
      <c r="AY150" s="26" t="str">
        <f>+I$13</f>
        <v>OL/SL</v>
      </c>
    </row>
    <row r="151" spans="1:51" x14ac:dyDescent="0.25">
      <c r="A151" s="22"/>
      <c r="C151" s="81"/>
    </row>
    <row r="152" spans="1:51" x14ac:dyDescent="0.25">
      <c r="A152" s="22"/>
      <c r="B152" s="28" t="s">
        <v>17</v>
      </c>
      <c r="C152" s="80"/>
      <c r="D152" s="80"/>
      <c r="E152" s="75">
        <f>+E130/SUM(E65:E68)*1000</f>
        <v>45.049723144261613</v>
      </c>
      <c r="F152" s="75">
        <f>+F130/SUM(F65:F68)*1000</f>
        <v>45.128293592928188</v>
      </c>
      <c r="G152" s="75">
        <f>+G130/SUM(G65:G68)*1000</f>
        <v>46.477978565058294</v>
      </c>
      <c r="H152" s="75">
        <f>+H130/SUM(H65:H68)*1000</f>
        <v>46.848883224555443</v>
      </c>
      <c r="I152" s="75">
        <f>+I130/SUM(I65:I68)*1000</f>
        <v>38.714502128812654</v>
      </c>
      <c r="J152" s="80"/>
      <c r="K152" s="80"/>
      <c r="L152" s="80"/>
      <c r="M152" s="80"/>
      <c r="P152" s="134" t="s">
        <v>25</v>
      </c>
      <c r="AU152" s="55">
        <f>SUM(E67:E68)</f>
        <v>39662</v>
      </c>
      <c r="AV152" s="55">
        <f>SUM(F67:F68)</f>
        <v>1980696</v>
      </c>
      <c r="AW152" s="55">
        <f>SUM(G67:G68)</f>
        <v>1121207</v>
      </c>
      <c r="AX152" s="55">
        <f>SUM(H67:H68)</f>
        <v>14129</v>
      </c>
      <c r="AY152" s="55">
        <f>SUM(I67:I68)</f>
        <v>19027</v>
      </c>
    </row>
    <row r="153" spans="1:51" x14ac:dyDescent="0.25">
      <c r="A153" s="22"/>
      <c r="B153" s="77" t="s">
        <v>72</v>
      </c>
      <c r="C153" s="76"/>
      <c r="D153" s="76"/>
      <c r="E153" s="75">
        <f>+(E131*1000-X165*AVERAGE(E$113,E$114))/R165</f>
        <v>58.624525905943159</v>
      </c>
      <c r="F153" s="75"/>
      <c r="G153" s="75"/>
      <c r="H153" s="75">
        <f>+(H131*1000-W153*AVERAGE(H$113,H$114))/Q153</f>
        <v>58.798584393470861</v>
      </c>
      <c r="I153" s="75"/>
      <c r="J153" s="76"/>
      <c r="K153" s="76"/>
      <c r="L153" s="80"/>
      <c r="M153" s="80"/>
      <c r="P153" s="13" t="s">
        <v>14</v>
      </c>
      <c r="Q153" s="55">
        <f>T65</f>
        <v>15200.926100000001</v>
      </c>
      <c r="R153" s="55"/>
      <c r="T153" s="55">
        <f>T76</f>
        <v>19198.993999999999</v>
      </c>
      <c r="U153" s="55"/>
      <c r="W153" s="55">
        <f>+T153-Q153</f>
        <v>3998.0678999999982</v>
      </c>
      <c r="X153" s="55"/>
      <c r="Z153" s="145"/>
      <c r="AA153" s="145"/>
      <c r="AX153" s="55">
        <f>ROUND(SUMPRODUCT(H65:H68,H38:H41),0)</f>
        <v>15201</v>
      </c>
    </row>
    <row r="154" spans="1:51" ht="15" x14ac:dyDescent="0.4">
      <c r="A154" s="22"/>
      <c r="B154" s="77" t="s">
        <v>73</v>
      </c>
      <c r="C154" s="76"/>
      <c r="D154" s="76"/>
      <c r="E154" s="75">
        <f>+(E132*1000-X166*AVERAGE(E$113,E$114))/R166</f>
        <v>35.669215611089058</v>
      </c>
      <c r="F154" s="75"/>
      <c r="G154" s="75"/>
      <c r="H154" s="75">
        <f>+(H132*1000-W154*AVERAGE(H$113,H$114))/Q154</f>
        <v>36.418463840244549</v>
      </c>
      <c r="I154" s="75"/>
      <c r="J154" s="76"/>
      <c r="K154" s="76"/>
      <c r="L154" s="80"/>
      <c r="M154" s="80"/>
      <c r="P154" s="13" t="s">
        <v>15</v>
      </c>
      <c r="Q154" s="55">
        <f>T66</f>
        <v>17415.073899999999</v>
      </c>
      <c r="R154" s="55"/>
      <c r="T154" s="55">
        <f>T77</f>
        <v>13417.006000000001</v>
      </c>
      <c r="U154" s="55"/>
      <c r="W154" s="55">
        <f>+T154-Q154</f>
        <v>-3998.0678999999982</v>
      </c>
      <c r="X154" s="55"/>
      <c r="Z154" s="85"/>
      <c r="AA154" s="85"/>
      <c r="AX154" s="55">
        <f>AX152-AX153</f>
        <v>-1072</v>
      </c>
    </row>
    <row r="155" spans="1:51" x14ac:dyDescent="0.25">
      <c r="A155" s="22"/>
      <c r="C155" s="82"/>
      <c r="D155" s="82"/>
      <c r="E155" s="79"/>
      <c r="F155" s="79"/>
      <c r="G155" s="79"/>
      <c r="H155" s="79"/>
      <c r="I155" s="79"/>
      <c r="J155" s="82"/>
      <c r="K155" s="82"/>
      <c r="L155" s="82"/>
      <c r="M155" s="82"/>
      <c r="Q155" s="55"/>
      <c r="R155" s="55"/>
      <c r="T155" s="55"/>
      <c r="U155" s="55"/>
      <c r="W155" s="55"/>
      <c r="X155" s="55"/>
      <c r="Z155" s="145"/>
      <c r="AA155" s="145"/>
      <c r="AC155" s="81"/>
      <c r="AD155" s="81"/>
    </row>
    <row r="156" spans="1:51" x14ac:dyDescent="0.25">
      <c r="A156" s="22"/>
      <c r="B156" s="28" t="s">
        <v>18</v>
      </c>
      <c r="C156" s="78"/>
      <c r="D156" s="78"/>
      <c r="E156" s="79">
        <f>+E134/SUM(E60:E64,E69:E71)*1000</f>
        <v>41.434413472125406</v>
      </c>
      <c r="F156" s="79">
        <f>+F134/SUM(F60:F64,F69:F71)*1000</f>
        <v>41.003587648939479</v>
      </c>
      <c r="G156" s="79">
        <f>+G134/SUM(G60:G64,G69:G71)*1000</f>
        <v>41.594395064817938</v>
      </c>
      <c r="H156" s="79">
        <f>+H134/SUM(H60:H64,H69:H71)*1000</f>
        <v>42.07735830397344</v>
      </c>
      <c r="I156" s="79">
        <f>+I134/SUM(I60:I64,I69:I71)*1000</f>
        <v>37.202507986180741</v>
      </c>
      <c r="J156" s="78"/>
      <c r="K156" s="78"/>
      <c r="L156" s="78"/>
      <c r="M156" s="78"/>
      <c r="P156" s="134" t="s">
        <v>26</v>
      </c>
      <c r="Q156" s="55"/>
      <c r="R156" s="55"/>
      <c r="T156" s="55"/>
      <c r="U156" s="55"/>
      <c r="W156" s="55"/>
      <c r="X156" s="55"/>
      <c r="Z156" s="145"/>
      <c r="AA156" s="145"/>
      <c r="AC156" s="81"/>
      <c r="AU156" s="55">
        <f>E72-AU152</f>
        <v>196417</v>
      </c>
      <c r="AV156" s="55">
        <f>F72-AV152</f>
        <v>6840370</v>
      </c>
      <c r="AW156" s="55">
        <f>G72-AW152</f>
        <v>4862849</v>
      </c>
      <c r="AX156" s="55">
        <f>H72-AX152</f>
        <v>103894</v>
      </c>
      <c r="AY156" s="55">
        <f>I72-AY152</f>
        <v>95262</v>
      </c>
    </row>
    <row r="157" spans="1:51" x14ac:dyDescent="0.25">
      <c r="A157" s="22"/>
      <c r="B157" s="77" t="s">
        <v>72</v>
      </c>
      <c r="C157" s="76"/>
      <c r="D157" s="76"/>
      <c r="E157" s="75">
        <f>+(E135*1000-X170*AVERAGE(E$113,E$114))/R170</f>
        <v>50.923278833341826</v>
      </c>
      <c r="F157" s="75"/>
      <c r="G157" s="75"/>
      <c r="H157" s="75">
        <f>+(H135*1000-W157*AVERAGE(H$117,H$118))/Q157</f>
        <v>50.49626480739019</v>
      </c>
      <c r="I157" s="75"/>
      <c r="J157" s="76"/>
      <c r="K157" s="76"/>
      <c r="L157" s="80"/>
      <c r="M157" s="80"/>
      <c r="P157" s="13" t="s">
        <v>14</v>
      </c>
      <c r="Q157" s="55">
        <f>T61</f>
        <v>37452.340899999996</v>
      </c>
      <c r="R157" s="55"/>
      <c r="T157" s="55">
        <f>T72</f>
        <v>48002.655500000001</v>
      </c>
      <c r="U157" s="55"/>
      <c r="W157" s="55">
        <f>+T157-Q157</f>
        <v>10550.314600000005</v>
      </c>
      <c r="X157" s="55"/>
      <c r="Z157" s="145"/>
      <c r="AA157" s="145"/>
      <c r="AC157" s="81"/>
      <c r="AX157" s="55">
        <f>ROUND(SUMPRODUCT(H33:H37,H60:H64)+SUMPRODUCT(H42:H44,H69:H71),0)</f>
        <v>37452</v>
      </c>
    </row>
    <row r="158" spans="1:51" ht="15" x14ac:dyDescent="0.4">
      <c r="A158" s="22"/>
      <c r="B158" s="77" t="s">
        <v>73</v>
      </c>
      <c r="C158" s="76"/>
      <c r="D158" s="76"/>
      <c r="E158" s="75">
        <f>+(E136*1000-X171*AVERAGE(E$113,E$114))/R171</f>
        <v>36.209399120773426</v>
      </c>
      <c r="F158" s="75"/>
      <c r="G158" s="75"/>
      <c r="H158" s="75">
        <f>+(H136*1000-W158*AVERAGE(H$117,H$118))/Q158</f>
        <v>35.50223583852793</v>
      </c>
      <c r="I158" s="75"/>
      <c r="J158" s="76"/>
      <c r="K158" s="76"/>
      <c r="L158" s="80"/>
      <c r="M158" s="80"/>
      <c r="P158" s="13" t="s">
        <v>15</v>
      </c>
      <c r="Q158" s="55">
        <f>T62</f>
        <v>47954.659100000004</v>
      </c>
      <c r="R158" s="55"/>
      <c r="T158" s="55">
        <f>T73</f>
        <v>37404.344499999999</v>
      </c>
      <c r="U158" s="55"/>
      <c r="W158" s="55">
        <f>+T158-Q158</f>
        <v>-10550.314600000005</v>
      </c>
      <c r="X158" s="55"/>
      <c r="Z158" s="85"/>
      <c r="AA158" s="85"/>
      <c r="AC158" s="81"/>
      <c r="AX158" s="55">
        <f>AX156-AX157</f>
        <v>66442</v>
      </c>
    </row>
    <row r="159" spans="1:51" x14ac:dyDescent="0.25">
      <c r="A159" s="22"/>
      <c r="C159" s="143"/>
      <c r="D159" s="143"/>
      <c r="E159" s="144"/>
      <c r="F159" s="144"/>
      <c r="G159" s="144"/>
      <c r="H159" s="144"/>
      <c r="I159" s="144"/>
      <c r="J159" s="143"/>
      <c r="K159" s="143"/>
      <c r="L159" s="143"/>
      <c r="M159" s="143"/>
      <c r="Z159" s="145"/>
      <c r="AA159" s="145"/>
      <c r="AC159" s="81"/>
      <c r="AD159" s="81"/>
    </row>
    <row r="160" spans="1:51" x14ac:dyDescent="0.25">
      <c r="A160" s="22"/>
      <c r="B160" s="13" t="s">
        <v>74</v>
      </c>
      <c r="C160" s="74"/>
      <c r="D160" s="74"/>
      <c r="E160" s="75">
        <f>(E152*SUM(E65:E68)+E156*SUM(E60:E64,E69:E71))/E72</f>
        <v>42.601185797999619</v>
      </c>
      <c r="F160" s="75">
        <f>(F152*SUM(F65:F68)+F156*SUM(F60:F64,F69:F71))/F72</f>
        <v>42.716640821202262</v>
      </c>
      <c r="G160" s="75">
        <f>(G152*SUM(G65:G68)+G156*SUM(G60:G64,G69:G71))/G72</f>
        <v>43.379677420707623</v>
      </c>
      <c r="H160" s="75">
        <f>(H152*SUM(H65:H68)+H156*SUM(H60:H64,H69:H71))/H72</f>
        <v>43.3959831212523</v>
      </c>
      <c r="I160" s="75">
        <f>(I152*SUM(I65:I68)+I156*SUM(I60:I64,I69:I71))/I72</f>
        <v>37.706223802932222</v>
      </c>
      <c r="J160" s="74"/>
      <c r="K160" s="74"/>
      <c r="L160" s="74"/>
      <c r="M160" s="74"/>
      <c r="AU160" s="55">
        <f>E72</f>
        <v>236079</v>
      </c>
      <c r="AV160" s="55">
        <f>F72</f>
        <v>8821066</v>
      </c>
      <c r="AW160" s="55">
        <f>G72</f>
        <v>5984056</v>
      </c>
      <c r="AX160" s="55">
        <f>H72</f>
        <v>118023</v>
      </c>
      <c r="AY160" s="55">
        <f>I72</f>
        <v>114289</v>
      </c>
    </row>
    <row r="161" spans="1:51" x14ac:dyDescent="0.25">
      <c r="A161" s="22"/>
      <c r="B161" s="13" t="s">
        <v>75</v>
      </c>
      <c r="C161" s="80">
        <f>+C140/SUM(C72:I72)*1000</f>
        <v>42.942386797307741</v>
      </c>
    </row>
    <row r="162" spans="1:51" x14ac:dyDescent="0.25">
      <c r="A162" s="22"/>
      <c r="Q162" s="26" t="str">
        <f>+$E150</f>
        <v>RT{1}</v>
      </c>
      <c r="R162" s="26"/>
      <c r="S162" s="26"/>
      <c r="T162" s="26" t="str">
        <f>+$E150</f>
        <v>RT{1}</v>
      </c>
      <c r="U162" s="26"/>
      <c r="V162" s="26"/>
      <c r="W162" s="26" t="str">
        <f>+$E150</f>
        <v>RT{1}</v>
      </c>
      <c r="X162" s="26"/>
      <c r="Z162" s="26"/>
      <c r="AA162" s="26"/>
      <c r="AC162" s="26"/>
    </row>
    <row r="163" spans="1:51" x14ac:dyDescent="0.25">
      <c r="A163" s="22"/>
    </row>
    <row r="164" spans="1:51" x14ac:dyDescent="0.25">
      <c r="A164" s="18" t="s">
        <v>76</v>
      </c>
      <c r="B164" s="16" t="s">
        <v>139</v>
      </c>
      <c r="P164" s="134" t="s">
        <v>25</v>
      </c>
      <c r="Q164" s="38" t="s">
        <v>196</v>
      </c>
      <c r="R164" s="38" t="s">
        <v>192</v>
      </c>
      <c r="T164" s="38" t="s">
        <v>196</v>
      </c>
      <c r="U164" s="38" t="s">
        <v>192</v>
      </c>
      <c r="W164" s="38" t="s">
        <v>196</v>
      </c>
      <c r="X164" s="38" t="s">
        <v>192</v>
      </c>
      <c r="Z164" s="38"/>
      <c r="AC164" s="38"/>
    </row>
    <row r="165" spans="1:51" x14ac:dyDescent="0.25">
      <c r="A165" s="22"/>
      <c r="B165" s="17" t="str">
        <f>'BGS PTY16 Cost Alloc'!$B$165</f>
        <v>obligations - annual average forecasted for 2017; costs are market estimates</v>
      </c>
      <c r="J165" s="26" t="s">
        <v>413</v>
      </c>
      <c r="P165" s="13" t="s">
        <v>14</v>
      </c>
      <c r="Q165" s="55">
        <f>SUMPRODUCT(E38:E41,M65:M68)</f>
        <v>30286.798000000003</v>
      </c>
      <c r="R165" s="55">
        <f>SUMPRODUCT(E38:E41,E65:E68)</f>
        <v>31135.267</v>
      </c>
      <c r="T165" s="55">
        <f>Q76</f>
        <v>39621.756200000003</v>
      </c>
      <c r="U165" s="55">
        <f>T165-($Q$167*$Q165/($Q$165+$Q$166))</f>
        <v>38771.542525688725</v>
      </c>
      <c r="W165" s="55">
        <f>+T165-Q165</f>
        <v>9334.9582000000009</v>
      </c>
      <c r="X165" s="55">
        <f>-Q165+U165</f>
        <v>8484.7445256887222</v>
      </c>
      <c r="Z165" s="145"/>
      <c r="AA165" s="145"/>
      <c r="AU165" s="82">
        <f>AU152*E152/1000</f>
        <v>1786.7621193477041</v>
      </c>
      <c r="AV165" s="82">
        <f>AV152*F152/1000</f>
        <v>89385.430606338487</v>
      </c>
      <c r="AW165" s="82">
        <f>AW152*G152/1000</f>
        <v>52111.434912993311</v>
      </c>
      <c r="AX165" s="82">
        <f>AX152*H152/1000</f>
        <v>661.9278710797438</v>
      </c>
      <c r="AY165" s="82">
        <f>AY152*I152/1000</f>
        <v>736.62083200491838</v>
      </c>
    </row>
    <row r="166" spans="1:51" ht="15" x14ac:dyDescent="0.4">
      <c r="A166" s="22"/>
      <c r="B166" s="17" t="s">
        <v>77</v>
      </c>
      <c r="C166" s="26"/>
      <c r="D166" s="26"/>
      <c r="E166" s="26" t="str">
        <f>+E$13</f>
        <v>RT{1}</v>
      </c>
      <c r="F166" s="26" t="str">
        <f>+F$13</f>
        <v>RS{2}</v>
      </c>
      <c r="G166" s="26" t="str">
        <f>+G$13</f>
        <v>GS{3}</v>
      </c>
      <c r="H166" s="26" t="str">
        <f>+H$58</f>
        <v>GST {4}</v>
      </c>
      <c r="I166" s="26" t="str">
        <f>+I$13</f>
        <v>OL/SL</v>
      </c>
      <c r="J166" s="26" t="s">
        <v>165</v>
      </c>
      <c r="K166" s="26"/>
      <c r="L166" s="26"/>
      <c r="M166" s="26"/>
      <c r="P166" s="13" t="s">
        <v>15</v>
      </c>
      <c r="Q166" s="55">
        <f>SUMPRODUCT(Q38:Q41,M65:M68)</f>
        <v>43823.202000000005</v>
      </c>
      <c r="R166" s="55">
        <f>SUMPRODUCT(Q38:Q41,E65:E68)</f>
        <v>45054.733</v>
      </c>
      <c r="T166" s="55">
        <f>Q77</f>
        <v>36568.243799999997</v>
      </c>
      <c r="U166" s="55">
        <f>T166-($Q$167*$Q166/($Q$165+$Q$166))</f>
        <v>35338.03499441727</v>
      </c>
      <c r="W166" s="55">
        <f>+T166-Q166</f>
        <v>-7254.9582000000082</v>
      </c>
      <c r="X166" s="55">
        <f>-Q166+U166</f>
        <v>-8485.1670055827344</v>
      </c>
      <c r="Z166" s="145"/>
      <c r="AA166" s="85"/>
      <c r="AU166" s="82"/>
      <c r="AV166" s="82"/>
      <c r="AW166" s="82"/>
      <c r="AX166" s="82">
        <f>AX153*H153/1000</f>
        <v>893.79728136515064</v>
      </c>
      <c r="AY166" s="82"/>
    </row>
    <row r="167" spans="1:51" ht="15" x14ac:dyDescent="0.4">
      <c r="A167" s="22"/>
      <c r="P167" s="13" t="s">
        <v>191</v>
      </c>
      <c r="Q167" s="55">
        <f>SUM(W65:W68)/1000</f>
        <v>2080.4224798939999</v>
      </c>
      <c r="R167" s="55"/>
      <c r="T167" s="55">
        <v>0</v>
      </c>
      <c r="U167" s="55">
        <v>0</v>
      </c>
      <c r="W167" s="55">
        <f>+T167-Q167</f>
        <v>-2080.4224798939999</v>
      </c>
      <c r="X167" s="55"/>
      <c r="Z167" s="85"/>
      <c r="AU167" s="82"/>
      <c r="AV167" s="82"/>
      <c r="AW167" s="82"/>
      <c r="AX167" s="82">
        <f>AX154*H154/1000</f>
        <v>-39.040593236742154</v>
      </c>
      <c r="AY167" s="82"/>
    </row>
    <row r="168" spans="1:51" x14ac:dyDescent="0.25">
      <c r="A168" s="22"/>
      <c r="B168" s="13" t="s">
        <v>78</v>
      </c>
      <c r="C168" s="87"/>
      <c r="D168" s="87"/>
      <c r="E168" s="87">
        <f>'BGS PTY16 Cost Alloc'!E168</f>
        <v>88.77</v>
      </c>
      <c r="F168" s="87">
        <f>'BGS PTY16 Cost Alloc'!F168</f>
        <v>2935.1</v>
      </c>
      <c r="G168" s="87">
        <f>'BGS PTY16 Cost Alloc'!G168</f>
        <v>1636.86</v>
      </c>
      <c r="H168" s="87">
        <f>'BGS PTY16 Cost Alloc'!H168</f>
        <v>40.08</v>
      </c>
      <c r="I168" s="87">
        <f>'BGS PTY16 Cost Alloc'!I168</f>
        <v>0.23</v>
      </c>
      <c r="J168" s="87">
        <f>SUM(E168:I168)</f>
        <v>4701.0399999999991</v>
      </c>
      <c r="K168" s="87"/>
      <c r="L168" s="87"/>
      <c r="M168" s="87"/>
      <c r="Z168" s="145"/>
      <c r="AA168" s="145"/>
      <c r="AC168" s="81"/>
      <c r="AU168" s="82">
        <f>AU156*E156/1000</f>
        <v>8138.423190954456</v>
      </c>
      <c r="AV168" s="82">
        <f>AV156*F156/1000</f>
        <v>280479.71084617614</v>
      </c>
      <c r="AW168" s="82">
        <f>AW156*G156/1000</f>
        <v>202267.26244655484</v>
      </c>
      <c r="AX168" s="82">
        <f>AX156*H156/1000</f>
        <v>4371.585063633016</v>
      </c>
      <c r="AY168" s="82">
        <f>AY156*I156/1000</f>
        <v>3543.9853157795501</v>
      </c>
    </row>
    <row r="169" spans="1:51" x14ac:dyDescent="0.25">
      <c r="A169" s="22"/>
      <c r="P169" s="134" t="s">
        <v>26</v>
      </c>
      <c r="Q169" s="55"/>
      <c r="R169" s="55"/>
      <c r="T169" s="55"/>
      <c r="U169" s="55"/>
      <c r="W169" s="55"/>
      <c r="X169" s="55"/>
      <c r="AU169" s="82"/>
      <c r="AV169" s="82"/>
      <c r="AW169" s="82"/>
      <c r="AX169" s="82">
        <f>AX157*H157/1000</f>
        <v>1891.1861095663776</v>
      </c>
      <c r="AY169" s="82"/>
    </row>
    <row r="170" spans="1:51" x14ac:dyDescent="0.25">
      <c r="A170" s="22"/>
      <c r="B170" s="13" t="s">
        <v>79</v>
      </c>
      <c r="C170" s="88" t="s">
        <v>80</v>
      </c>
      <c r="D170" s="86"/>
      <c r="E170" s="67"/>
      <c r="F170" s="67"/>
      <c r="G170" s="67"/>
      <c r="H170" s="67"/>
      <c r="I170" s="67"/>
      <c r="J170" s="86"/>
      <c r="K170" s="86"/>
      <c r="L170" s="86"/>
      <c r="M170" s="86"/>
      <c r="P170" s="13" t="s">
        <v>14</v>
      </c>
      <c r="Q170" s="55">
        <f>SUMPRODUCT(E33:E37,M60:M64)+SUMPRODUCT(E42:E44,M69:M71)</f>
        <v>55263.197499999995</v>
      </c>
      <c r="R170" s="55">
        <f>SUMPRODUCT(E33:E37,E60:E64)+SUMPRODUCT(E42:E44,E69:E71)</f>
        <v>56773.514299999995</v>
      </c>
      <c r="T170" s="55">
        <f>Q72</f>
        <v>76997.063999999998</v>
      </c>
      <c r="U170" s="55">
        <f>T170-($Q$172*$Q170/($Q$170+$Q$171))</f>
        <v>75490.69922337652</v>
      </c>
      <c r="W170" s="55">
        <f>+T170-Q170</f>
        <v>21733.866500000004</v>
      </c>
      <c r="X170" s="55">
        <f>-Q170+U170</f>
        <v>20227.501723376525</v>
      </c>
      <c r="Z170" s="145"/>
      <c r="AA170" s="145"/>
      <c r="AC170" s="81"/>
      <c r="AU170" s="82"/>
      <c r="AV170" s="82"/>
      <c r="AW170" s="82"/>
      <c r="AX170" s="82">
        <f>AX158*H158/1000</f>
        <v>2358.8395535834729</v>
      </c>
      <c r="AY170" s="82"/>
    </row>
    <row r="171" spans="1:51" ht="15" x14ac:dyDescent="0.4">
      <c r="A171" s="22"/>
      <c r="C171" s="86"/>
      <c r="D171" s="86"/>
      <c r="E171" s="86"/>
      <c r="F171" s="86"/>
      <c r="G171" s="86"/>
      <c r="H171" s="86"/>
      <c r="I171" s="86"/>
      <c r="J171" s="86"/>
      <c r="K171" s="86"/>
      <c r="L171" s="86"/>
      <c r="M171" s="86"/>
      <c r="P171" s="13" t="s">
        <v>15</v>
      </c>
      <c r="Q171" s="55">
        <f>SUMPRODUCT(Q33:Q37,M60:M64)+SUMPRODUCT(Q42:Q44,M69:M71)</f>
        <v>100381.80249999999</v>
      </c>
      <c r="R171" s="55">
        <f>SUMPRODUCT(Q33:Q37,E60:E64)+SUMPRODUCT(Q42:Q44,E69:E71)</f>
        <v>103115.48569999999</v>
      </c>
      <c r="T171" s="55">
        <f>Q73</f>
        <v>82891.936000000002</v>
      </c>
      <c r="U171" s="55">
        <f>T171-($Q$172*$Q171/($Q$170+$Q$171))</f>
        <v>80155.727848092487</v>
      </c>
      <c r="W171" s="55">
        <f>+T171-Q171</f>
        <v>-17489.866499999989</v>
      </c>
      <c r="X171" s="55">
        <f>-Q171+U171</f>
        <v>-20226.074651907504</v>
      </c>
      <c r="Z171" s="145"/>
      <c r="AA171" s="85"/>
      <c r="AC171" s="81"/>
      <c r="AU171" s="82"/>
      <c r="AV171" s="82"/>
      <c r="AW171" s="82"/>
      <c r="AX171" s="82"/>
      <c r="AY171" s="82"/>
    </row>
    <row r="172" spans="1:51" ht="15" x14ac:dyDescent="0.4">
      <c r="A172" s="22"/>
      <c r="B172" s="13" t="s">
        <v>81</v>
      </c>
      <c r="I172" s="86"/>
      <c r="J172" s="86"/>
      <c r="K172" s="86"/>
      <c r="L172" s="86"/>
      <c r="M172" s="86"/>
      <c r="P172" s="13" t="s">
        <v>191</v>
      </c>
      <c r="Q172" s="55">
        <f>SUM(W60:W64,W69:W71)/1000</f>
        <v>4242.5729285309999</v>
      </c>
      <c r="T172" s="13">
        <v>0</v>
      </c>
      <c r="U172" s="55">
        <v>0</v>
      </c>
      <c r="W172" s="55">
        <f>+T172-Q172</f>
        <v>-4242.5729285309999</v>
      </c>
      <c r="X172" s="55"/>
      <c r="Z172" s="85"/>
      <c r="AU172" s="82">
        <f>AU160*E160/1000</f>
        <v>10057.245342005952</v>
      </c>
      <c r="AV172" s="82">
        <f>AV160*F160/1000</f>
        <v>376806.30798211932</v>
      </c>
      <c r="AW172" s="82">
        <f>AW160*G160/1000</f>
        <v>259586.41894744997</v>
      </c>
      <c r="AX172" s="82">
        <f>AX160*H160/1000</f>
        <v>5121.7241159195601</v>
      </c>
      <c r="AY172" s="82">
        <f>AY160*I160/1000</f>
        <v>4309.4066122133208</v>
      </c>
    </row>
    <row r="173" spans="1:51" x14ac:dyDescent="0.25">
      <c r="A173" s="22"/>
      <c r="D173" s="89" t="s">
        <v>82</v>
      </c>
      <c r="E173" s="137">
        <v>122</v>
      </c>
      <c r="G173" s="89" t="s">
        <v>83</v>
      </c>
      <c r="H173" s="90">
        <v>4</v>
      </c>
      <c r="I173" s="86"/>
      <c r="J173" s="86"/>
      <c r="K173" s="86"/>
      <c r="L173" s="86"/>
      <c r="M173" s="86"/>
      <c r="Q173" s="26"/>
      <c r="R173" s="26"/>
      <c r="S173" s="26"/>
      <c r="T173" s="26"/>
      <c r="U173" s="26"/>
      <c r="V173" s="26"/>
      <c r="W173" s="26"/>
      <c r="X173" s="26"/>
      <c r="Z173" s="145"/>
      <c r="AA173" s="145"/>
      <c r="AC173" s="81"/>
      <c r="AU173" s="81">
        <f>AU172-AU165-AU168</f>
        <v>132.06003170379154</v>
      </c>
      <c r="AV173" s="81">
        <f>AV172-AV165-AV168</f>
        <v>6941.1665296046995</v>
      </c>
      <c r="AW173" s="81">
        <f>AW172-AW165-AW168</f>
        <v>5207.7215879018186</v>
      </c>
      <c r="AX173" s="81">
        <f>AX172-AX165-AX168</f>
        <v>88.211181206800575</v>
      </c>
      <c r="AY173" s="81">
        <f>AY172-AY165-AY168</f>
        <v>28.800464428852592</v>
      </c>
    </row>
    <row r="174" spans="1:51" ht="15" x14ac:dyDescent="0.4">
      <c r="A174" s="22"/>
      <c r="D174" s="91" t="s">
        <v>84</v>
      </c>
      <c r="E174" s="90">
        <v>244</v>
      </c>
      <c r="G174" s="91" t="s">
        <v>85</v>
      </c>
      <c r="H174" s="90">
        <v>8</v>
      </c>
      <c r="I174" s="86"/>
      <c r="J174" s="86"/>
      <c r="K174" s="86"/>
      <c r="L174" s="86"/>
      <c r="M174" s="86"/>
      <c r="Q174" s="55"/>
      <c r="R174" s="55"/>
      <c r="T174" s="55"/>
      <c r="U174" s="55"/>
      <c r="W174" s="55"/>
      <c r="X174" s="55"/>
      <c r="Z174" s="85"/>
      <c r="AA174" s="85"/>
      <c r="AX174" s="81">
        <f>SUM(AX166:AX167)+SUM(AX169:AX170)</f>
        <v>5104.7823512782588</v>
      </c>
    </row>
    <row r="175" spans="1:51" x14ac:dyDescent="0.25">
      <c r="A175" s="22"/>
      <c r="G175" s="89" t="s">
        <v>86</v>
      </c>
      <c r="H175" s="13">
        <f>+H173+H174</f>
        <v>12</v>
      </c>
      <c r="I175" s="86"/>
      <c r="J175" s="86"/>
      <c r="K175" s="86"/>
      <c r="L175" s="86"/>
      <c r="M175" s="86"/>
      <c r="Q175" s="55"/>
      <c r="R175" s="55"/>
      <c r="T175" s="55"/>
      <c r="U175" s="55"/>
      <c r="W175" s="55"/>
      <c r="X175" s="55"/>
      <c r="Z175" s="145"/>
      <c r="AA175" s="145"/>
      <c r="AC175" s="81"/>
    </row>
    <row r="176" spans="1:51" x14ac:dyDescent="0.25">
      <c r="A176" s="22"/>
      <c r="B176" s="21" t="s">
        <v>158</v>
      </c>
      <c r="C176" s="92"/>
      <c r="D176" s="93"/>
      <c r="K176" s="94"/>
      <c r="Q176" s="55"/>
      <c r="R176" s="55"/>
      <c r="T176" s="55"/>
      <c r="U176" s="55"/>
      <c r="W176" s="55"/>
      <c r="X176" s="55"/>
      <c r="Z176" s="145"/>
      <c r="AA176" s="145"/>
      <c r="AC176" s="81"/>
    </row>
    <row r="177" spans="1:50" x14ac:dyDescent="0.25">
      <c r="A177" s="22"/>
      <c r="B177" s="21"/>
      <c r="C177" s="92"/>
      <c r="D177" s="93"/>
      <c r="K177" s="94"/>
      <c r="Q177" s="55"/>
      <c r="R177" s="55"/>
      <c r="T177" s="55"/>
      <c r="U177" s="55"/>
      <c r="W177" s="55"/>
      <c r="X177" s="55"/>
      <c r="Z177" s="145"/>
      <c r="AA177" s="145"/>
      <c r="AC177" s="81"/>
    </row>
    <row r="178" spans="1:50" x14ac:dyDescent="0.25">
      <c r="A178" s="22"/>
      <c r="D178" s="38" t="s">
        <v>222</v>
      </c>
      <c r="E178" s="38" t="s">
        <v>218</v>
      </c>
      <c r="Q178" s="55"/>
      <c r="R178" s="55"/>
      <c r="T178" s="55"/>
      <c r="U178" s="55"/>
      <c r="W178" s="55"/>
      <c r="X178" s="55"/>
      <c r="Z178" s="145"/>
      <c r="AA178" s="145"/>
      <c r="AC178" s="81"/>
    </row>
    <row r="179" spans="1:50" ht="15" x14ac:dyDescent="0.4">
      <c r="A179" s="22"/>
      <c r="B179" s="21" t="s">
        <v>87</v>
      </c>
      <c r="C179" s="13" t="s">
        <v>25</v>
      </c>
      <c r="D179" s="11">
        <v>151.38</v>
      </c>
      <c r="E179" s="163">
        <f>ROUND(D179*$H$308,3)</f>
        <v>155.69800000000001</v>
      </c>
      <c r="F179" s="93" t="s">
        <v>88</v>
      </c>
      <c r="G179" s="89" t="s">
        <v>162</v>
      </c>
      <c r="H179" s="81">
        <f>ROUND(E179*E173*J$168,0)</f>
        <v>89296988</v>
      </c>
      <c r="I179" s="89"/>
      <c r="J179" s="89"/>
      <c r="K179" s="143"/>
      <c r="Q179" s="55"/>
      <c r="R179" s="55"/>
      <c r="T179" s="55"/>
      <c r="U179" s="55"/>
      <c r="W179" s="55"/>
      <c r="X179" s="55"/>
      <c r="Z179" s="85"/>
      <c r="AA179" s="85"/>
      <c r="AC179" s="81"/>
    </row>
    <row r="180" spans="1:50" ht="15" x14ac:dyDescent="0.4">
      <c r="A180" s="22"/>
      <c r="B180" s="21"/>
      <c r="C180" s="13" t="s">
        <v>26</v>
      </c>
      <c r="D180" s="11">
        <v>151.38</v>
      </c>
      <c r="E180" s="163">
        <f>ROUND(D180*$H$308,3)</f>
        <v>155.69800000000001</v>
      </c>
      <c r="F180" s="93" t="s">
        <v>88</v>
      </c>
      <c r="G180" s="122" t="s">
        <v>163</v>
      </c>
      <c r="H180" s="123">
        <f>ROUND(E180*E174*J$168,0)</f>
        <v>178593976</v>
      </c>
      <c r="I180" s="89"/>
      <c r="J180" s="89"/>
      <c r="K180" s="143"/>
      <c r="Z180" s="145"/>
      <c r="AA180" s="145"/>
      <c r="AC180" s="81"/>
    </row>
    <row r="181" spans="1:50" x14ac:dyDescent="0.25">
      <c r="A181" s="22"/>
      <c r="B181" s="21"/>
      <c r="D181" s="11"/>
      <c r="E181" s="93"/>
      <c r="G181" s="89" t="s">
        <v>164</v>
      </c>
      <c r="H181" s="81">
        <f>SUM(H179:H180)</f>
        <v>267890964</v>
      </c>
      <c r="I181" s="89"/>
      <c r="J181" s="89"/>
      <c r="K181" s="143"/>
    </row>
    <row r="182" spans="1:50" x14ac:dyDescent="0.25">
      <c r="A182" s="22"/>
      <c r="B182" s="13" t="s">
        <v>153</v>
      </c>
      <c r="I182" s="89"/>
      <c r="J182" s="89"/>
      <c r="K182" s="143"/>
    </row>
    <row r="183" spans="1:50" x14ac:dyDescent="0.25">
      <c r="A183" s="22"/>
      <c r="B183" s="17" t="s">
        <v>154</v>
      </c>
      <c r="I183" s="89"/>
      <c r="J183" s="89"/>
      <c r="K183" s="143"/>
    </row>
    <row r="184" spans="1:50" x14ac:dyDescent="0.25">
      <c r="A184" s="22"/>
      <c r="B184" s="17"/>
      <c r="C184" s="105" t="str">
        <f>" ---------- Rate "&amp;C30&amp;" ----------"</f>
        <v xml:space="preserve"> ---------- Rate  ----------</v>
      </c>
      <c r="D184" s="106"/>
      <c r="E184" s="106"/>
      <c r="I184" s="89"/>
      <c r="J184" s="89"/>
      <c r="K184" s="143"/>
    </row>
    <row r="185" spans="1:50" x14ac:dyDescent="0.25">
      <c r="A185" s="22"/>
      <c r="C185" s="38" t="s">
        <v>140</v>
      </c>
      <c r="E185" s="38" t="s">
        <v>141</v>
      </c>
      <c r="I185" s="89"/>
      <c r="J185" s="89"/>
      <c r="K185" s="143"/>
    </row>
    <row r="186" spans="1:50" x14ac:dyDescent="0.25">
      <c r="A186" s="22"/>
      <c r="B186" s="89" t="s">
        <v>142</v>
      </c>
      <c r="C186" s="107"/>
      <c r="E186" s="118">
        <f>SUM(R65/(R65+R66))</f>
        <v>0.52890352914327898</v>
      </c>
      <c r="F186" s="112"/>
      <c r="I186" s="89"/>
      <c r="J186" s="89"/>
      <c r="K186" s="143"/>
      <c r="AX186" s="118">
        <f>(37892894+37550803+37185127+37530967+385012043+415293692+408537249+370243592)/(37892894+37550803+37185127+37530967+385012043+415293692+408537249+370243592+28757462+38416028+35549073+25251802+243248593+403536675+352244990+172217638)</f>
        <v>0.5709969556930804</v>
      </c>
    </row>
    <row r="187" spans="1:50" x14ac:dyDescent="0.25">
      <c r="A187" s="22"/>
      <c r="B187" s="89" t="s">
        <v>144</v>
      </c>
      <c r="C187" s="108"/>
      <c r="E187" s="109">
        <f>1-E186</f>
        <v>0.47109647085672102</v>
      </c>
      <c r="G187" s="53"/>
      <c r="I187" s="89"/>
      <c r="J187" s="89"/>
      <c r="K187" s="143"/>
    </row>
    <row r="188" spans="1:50" x14ac:dyDescent="0.25">
      <c r="A188" s="22"/>
      <c r="B188" s="110" t="s">
        <v>155</v>
      </c>
      <c r="C188" s="111">
        <v>0.86519999999999997</v>
      </c>
      <c r="D188" s="13" t="s">
        <v>143</v>
      </c>
      <c r="J188" s="89"/>
      <c r="K188" s="143"/>
    </row>
    <row r="189" spans="1:50" x14ac:dyDescent="0.25">
      <c r="A189" s="13"/>
      <c r="J189" s="89"/>
      <c r="K189" s="143"/>
    </row>
    <row r="190" spans="1:50" x14ac:dyDescent="0.25">
      <c r="A190" s="18" t="s">
        <v>89</v>
      </c>
      <c r="B190" s="16" t="s">
        <v>90</v>
      </c>
      <c r="D190" s="38" t="s">
        <v>222</v>
      </c>
      <c r="E190" s="38" t="s">
        <v>218</v>
      </c>
    </row>
    <row r="191" spans="1:50" x14ac:dyDescent="0.25">
      <c r="A191" s="18"/>
      <c r="B191" s="17" t="s">
        <v>445</v>
      </c>
      <c r="D191" s="511">
        <v>2</v>
      </c>
      <c r="F191" s="13" t="s">
        <v>92</v>
      </c>
    </row>
    <row r="192" spans="1:50" x14ac:dyDescent="0.25">
      <c r="A192" s="18"/>
      <c r="B192" s="17" t="s">
        <v>455</v>
      </c>
      <c r="D192" s="512">
        <v>8.57</v>
      </c>
      <c r="F192" s="13" t="s">
        <v>92</v>
      </c>
    </row>
    <row r="193" spans="1:13" x14ac:dyDescent="0.25">
      <c r="A193" s="22"/>
      <c r="B193" s="17" t="s">
        <v>91</v>
      </c>
      <c r="D193" s="513">
        <f>D191+D192</f>
        <v>10.57</v>
      </c>
      <c r="E193" s="510">
        <f>ROUND(D193*$H$308,3)</f>
        <v>10.872</v>
      </c>
      <c r="F193" s="13" t="s">
        <v>92</v>
      </c>
    </row>
    <row r="194" spans="1:13" x14ac:dyDescent="0.25">
      <c r="A194" s="22"/>
      <c r="B194" s="17"/>
      <c r="F194" s="93"/>
    </row>
    <row r="195" spans="1:13" x14ac:dyDescent="0.25">
      <c r="A195" s="22"/>
      <c r="B195" s="16"/>
      <c r="E195" s="92"/>
      <c r="F195" s="93"/>
    </row>
    <row r="196" spans="1:13" x14ac:dyDescent="0.25">
      <c r="A196" s="18" t="s">
        <v>93</v>
      </c>
      <c r="B196" s="16" t="s">
        <v>167</v>
      </c>
    </row>
    <row r="197" spans="1:13" x14ac:dyDescent="0.25">
      <c r="A197" s="18"/>
      <c r="B197" s="16"/>
    </row>
    <row r="198" spans="1:13" x14ac:dyDescent="0.25">
      <c r="A198" s="18"/>
      <c r="B198" s="16"/>
      <c r="C198" s="26"/>
      <c r="D198" s="26"/>
      <c r="E198" s="26" t="str">
        <f>+E$13</f>
        <v>RT{1}</v>
      </c>
      <c r="F198" s="26" t="str">
        <f>+F$13</f>
        <v>RS{2}</v>
      </c>
      <c r="G198" s="26" t="str">
        <f>+G$13</f>
        <v>GS{3}</v>
      </c>
      <c r="H198" s="156" t="str">
        <f>+H$58</f>
        <v>GST {4}</v>
      </c>
      <c r="I198" s="26" t="str">
        <f>+I$13</f>
        <v>OL/SL</v>
      </c>
      <c r="J198" s="26"/>
    </row>
    <row r="199" spans="1:13" x14ac:dyDescent="0.25">
      <c r="A199" s="18"/>
      <c r="B199" s="16"/>
    </row>
    <row r="200" spans="1:13" x14ac:dyDescent="0.25">
      <c r="A200" s="22"/>
      <c r="B200" s="89" t="s">
        <v>94</v>
      </c>
      <c r="C200" s="146"/>
      <c r="D200" s="146"/>
      <c r="E200" s="147">
        <f>'BGS PTY16 Cost Alloc'!E203</f>
        <v>3.8420000000000001</v>
      </c>
      <c r="F200" s="147">
        <f>'BGS PTY16 Cost Alloc'!F203</f>
        <v>4.6269999999999998</v>
      </c>
      <c r="G200" s="147">
        <f>'BGS PTY16 Cost Alloc'!G203</f>
        <v>4.6150000000000002</v>
      </c>
      <c r="H200" s="147">
        <f>'BGS PTY16 Cost Alloc'!H203</f>
        <v>3.69</v>
      </c>
      <c r="I200" s="147">
        <f>'BGS PTY16 Cost Alloc'!I203</f>
        <v>3.508</v>
      </c>
      <c r="J200" s="146"/>
      <c r="K200" s="146"/>
      <c r="L200" s="146"/>
      <c r="M200" s="146"/>
    </row>
    <row r="201" spans="1:13" x14ac:dyDescent="0.25">
      <c r="A201" s="22"/>
      <c r="B201" s="89"/>
      <c r="C201" s="146"/>
      <c r="D201" s="146"/>
      <c r="E201" s="146"/>
      <c r="F201" s="146"/>
      <c r="G201" s="146"/>
      <c r="H201" s="146"/>
      <c r="I201" s="146"/>
      <c r="J201" s="146"/>
      <c r="K201" s="146"/>
      <c r="L201" s="146"/>
      <c r="M201" s="146"/>
    </row>
    <row r="202" spans="1:13" x14ac:dyDescent="0.25">
      <c r="A202" s="22"/>
      <c r="B202" s="89" t="s">
        <v>131</v>
      </c>
      <c r="C202" s="146"/>
      <c r="D202" s="146"/>
      <c r="E202" s="147">
        <f>$H$181*(E$168/$J$168)/E$72</f>
        <v>21.427572910632623</v>
      </c>
      <c r="F202" s="147">
        <f>$H$181*(F$168/$J$168)/F$72</f>
        <v>18.961205689076106</v>
      </c>
      <c r="G202" s="147">
        <f>$H$181*(G$168/$J$168)/G$72</f>
        <v>15.587627017696438</v>
      </c>
      <c r="H202" s="147">
        <f>$H$181*(H$168/$J$168)/H$72</f>
        <v>19.351969982887539</v>
      </c>
      <c r="I202" s="147">
        <f>$H$181*(I$168/$J$168)/I$72</f>
        <v>0.11467995709287035</v>
      </c>
      <c r="J202" s="146"/>
      <c r="K202" s="146"/>
      <c r="L202" s="146"/>
      <c r="M202" s="146"/>
    </row>
    <row r="203" spans="1:13" x14ac:dyDescent="0.25">
      <c r="A203" s="22"/>
      <c r="B203" s="89" t="s">
        <v>198</v>
      </c>
      <c r="C203" s="146"/>
      <c r="D203" s="146"/>
      <c r="E203" s="147">
        <f>$H$179*(E$168/$J$168)/SUM(E65:E68)</f>
        <v>22.13151325707328</v>
      </c>
      <c r="F203" s="147">
        <f>$H$179*(F$168/$J$168)/SUM(F65:F68)</f>
        <v>15.21832462203875</v>
      </c>
      <c r="G203" s="147">
        <f>$H$179*(G$168/$J$168)/SUM(G65:G68)</f>
        <v>14.213153801767017</v>
      </c>
      <c r="H203" s="147"/>
      <c r="I203" s="147">
        <f>$H$179*(I$168/$J$168)/SUM(I65:I68)</f>
        <v>0.11474421200426403</v>
      </c>
      <c r="J203" s="146"/>
      <c r="K203" s="146"/>
      <c r="L203" s="146"/>
      <c r="M203" s="146"/>
    </row>
    <row r="204" spans="1:13" x14ac:dyDescent="0.25">
      <c r="A204" s="22"/>
      <c r="B204" s="89" t="s">
        <v>199</v>
      </c>
      <c r="C204" s="146"/>
      <c r="D204" s="146"/>
      <c r="E204" s="147">
        <f>$H$179*(E$168/$J$168)/R165</f>
        <v>54.157235749942764</v>
      </c>
      <c r="F204" s="147"/>
      <c r="G204" s="147"/>
      <c r="H204" s="147">
        <f>$H$179*(H$168/$J$168)/Q153</f>
        <v>50.084175535645727</v>
      </c>
      <c r="I204" s="147"/>
      <c r="J204" s="146"/>
      <c r="K204" s="146"/>
      <c r="L204" s="146"/>
      <c r="M204" s="146"/>
    </row>
    <row r="205" spans="1:13" x14ac:dyDescent="0.25">
      <c r="A205" s="22"/>
      <c r="B205" s="89" t="s">
        <v>201</v>
      </c>
      <c r="C205" s="146"/>
      <c r="D205" s="146"/>
      <c r="E205" s="147">
        <f>$H$180*(E$168/$J$168)/(E72-SUM(E65:E68))</f>
        <v>21.092132605200021</v>
      </c>
      <c r="F205" s="147">
        <f>$H$180*(F$168/$J$168)/(F72-SUM(F65:F68))</f>
        <v>21.619861346499786</v>
      </c>
      <c r="G205" s="147">
        <f>$H$180*(G$168/$J$168)/(G72-SUM(G65:G68))</f>
        <v>16.37961677812239</v>
      </c>
      <c r="H205" s="147"/>
      <c r="I205" s="147">
        <f>$H$180*(I$168/$J$168)/(I72-SUM(I65:I68))</f>
        <v>0.11464785661590661</v>
      </c>
      <c r="J205" s="146"/>
      <c r="K205" s="146"/>
      <c r="L205" s="146"/>
      <c r="M205" s="146"/>
    </row>
    <row r="206" spans="1:13" x14ac:dyDescent="0.25">
      <c r="A206" s="22"/>
      <c r="B206" s="89" t="s">
        <v>200</v>
      </c>
      <c r="C206" s="146"/>
      <c r="D206" s="146"/>
      <c r="E206" s="147">
        <f>$H$180*(E$168/$J$168)/R170</f>
        <v>59.400937773422747</v>
      </c>
      <c r="F206" s="148"/>
      <c r="G206" s="148"/>
      <c r="H206" s="147">
        <f>$H$180*(H$168/$J$168)/Q157</f>
        <v>40.655715119627075</v>
      </c>
      <c r="I206" s="147"/>
      <c r="J206" s="146"/>
      <c r="K206" s="146"/>
      <c r="L206" s="146"/>
      <c r="M206" s="146"/>
    </row>
    <row r="207" spans="1:13" x14ac:dyDescent="0.25">
      <c r="A207" s="22"/>
      <c r="B207" s="89"/>
      <c r="C207" s="146"/>
      <c r="D207" s="146"/>
      <c r="E207" s="147"/>
      <c r="F207" s="147"/>
      <c r="G207" s="147"/>
      <c r="H207" s="147"/>
      <c r="I207" s="147"/>
      <c r="J207" s="146"/>
      <c r="K207" s="146"/>
      <c r="L207" s="146"/>
      <c r="M207" s="146"/>
    </row>
    <row r="208" spans="1:13" ht="15.6" x14ac:dyDescent="0.3">
      <c r="A208" s="22"/>
      <c r="B208" s="534" t="str">
        <f>$B$1</f>
        <v xml:space="preserve">Jersey Central Power &amp; Light </v>
      </c>
      <c r="C208" s="534"/>
      <c r="D208" s="534"/>
      <c r="E208" s="534"/>
      <c r="F208" s="534"/>
      <c r="G208" s="534"/>
      <c r="H208" s="534"/>
      <c r="I208" s="534"/>
      <c r="J208" s="534"/>
      <c r="K208" s="534"/>
      <c r="L208" s="534"/>
      <c r="M208" s="146"/>
    </row>
    <row r="209" spans="1:18" ht="15.6" x14ac:dyDescent="0.3">
      <c r="A209" s="22"/>
      <c r="B209" s="534" t="str">
        <f>$B$2</f>
        <v>Attachment 2</v>
      </c>
      <c r="C209" s="534"/>
      <c r="D209" s="534"/>
      <c r="E209" s="534"/>
      <c r="F209" s="534"/>
      <c r="G209" s="534"/>
      <c r="H209" s="534"/>
      <c r="I209" s="534"/>
      <c r="J209" s="534"/>
      <c r="K209" s="534"/>
      <c r="L209" s="534"/>
      <c r="M209" s="146"/>
      <c r="N209" s="146"/>
      <c r="O209" s="146"/>
      <c r="P209" s="146"/>
      <c r="Q209" s="146"/>
      <c r="R209" s="146"/>
    </row>
    <row r="210" spans="1:18" x14ac:dyDescent="0.25">
      <c r="A210" s="22"/>
      <c r="E210" s="146"/>
      <c r="F210" s="146"/>
      <c r="G210" s="146"/>
      <c r="H210" s="146"/>
      <c r="K210" s="146"/>
      <c r="L210" s="146"/>
      <c r="M210" s="146"/>
      <c r="N210" s="146"/>
      <c r="O210" s="146"/>
      <c r="P210" s="146"/>
      <c r="Q210" s="146"/>
      <c r="R210" s="146"/>
    </row>
    <row r="211" spans="1:18" x14ac:dyDescent="0.25">
      <c r="A211" s="22"/>
      <c r="M211" s="146"/>
      <c r="N211" s="146"/>
      <c r="O211" s="146"/>
      <c r="P211" s="146"/>
      <c r="Q211" s="146"/>
      <c r="R211" s="146"/>
    </row>
    <row r="212" spans="1:18" x14ac:dyDescent="0.25">
      <c r="A212" s="18" t="s">
        <v>95</v>
      </c>
      <c r="B212" s="16" t="s">
        <v>96</v>
      </c>
      <c r="M212" s="146"/>
      <c r="N212" s="146"/>
      <c r="O212" s="146"/>
      <c r="P212" s="146"/>
      <c r="Q212" s="146"/>
      <c r="R212" s="146"/>
    </row>
    <row r="213" spans="1:18" x14ac:dyDescent="0.25">
      <c r="A213" s="22"/>
      <c r="B213" s="16"/>
      <c r="M213" s="146"/>
      <c r="N213" s="146"/>
      <c r="O213" s="146"/>
      <c r="P213" s="146"/>
      <c r="Q213" s="146"/>
      <c r="R213" s="146"/>
    </row>
    <row r="214" spans="1:18" x14ac:dyDescent="0.25">
      <c r="A214" s="22"/>
      <c r="B214" s="16" t="s">
        <v>97</v>
      </c>
      <c r="M214" s="146"/>
      <c r="N214" s="146"/>
      <c r="O214" s="146"/>
      <c r="P214" s="146"/>
      <c r="Q214" s="146"/>
      <c r="R214" s="146"/>
    </row>
    <row r="215" spans="1:18" x14ac:dyDescent="0.25">
      <c r="A215" s="22"/>
      <c r="B215" s="17" t="s">
        <v>219</v>
      </c>
      <c r="M215" s="146"/>
      <c r="N215" s="146"/>
      <c r="O215" s="146"/>
      <c r="P215" s="146"/>
      <c r="Q215" s="146"/>
      <c r="R215" s="146"/>
    </row>
    <row r="216" spans="1:18" x14ac:dyDescent="0.25">
      <c r="A216" s="22"/>
      <c r="B216" s="17" t="s">
        <v>21</v>
      </c>
      <c r="M216" s="146"/>
      <c r="N216" s="146"/>
      <c r="O216" s="146"/>
      <c r="P216" s="146"/>
      <c r="Q216" s="146"/>
      <c r="R216" s="146"/>
    </row>
    <row r="217" spans="1:18" x14ac:dyDescent="0.25">
      <c r="A217" s="22"/>
      <c r="C217" s="26"/>
      <c r="D217" s="26"/>
      <c r="E217" s="26" t="str">
        <f>+E$13</f>
        <v>RT{1}</v>
      </c>
      <c r="F217" s="26" t="str">
        <f>+F$13</f>
        <v>RS{2}</v>
      </c>
      <c r="G217" s="26" t="str">
        <f>+G$13</f>
        <v>GS{3}</v>
      </c>
      <c r="H217" s="156" t="str">
        <f>+H$58</f>
        <v>GST {4}</v>
      </c>
      <c r="I217" s="26" t="str">
        <f>+I$13</f>
        <v>OL/SL</v>
      </c>
      <c r="J217" s="26"/>
      <c r="M217" s="146"/>
      <c r="N217" s="146"/>
      <c r="O217" s="146"/>
      <c r="P217" s="146"/>
      <c r="Q217" s="146"/>
      <c r="R217" s="146"/>
    </row>
    <row r="218" spans="1:18" x14ac:dyDescent="0.25">
      <c r="A218" s="22"/>
      <c r="C218" s="26"/>
      <c r="D218" s="26"/>
      <c r="E218" s="74"/>
      <c r="F218" s="26"/>
      <c r="G218" s="26"/>
      <c r="M218" s="146"/>
      <c r="N218" s="146"/>
      <c r="O218" s="146"/>
      <c r="P218" s="146"/>
      <c r="Q218" s="146"/>
      <c r="R218" s="146"/>
    </row>
    <row r="219" spans="1:18" x14ac:dyDescent="0.25">
      <c r="A219" s="22"/>
      <c r="B219" s="28" t="s">
        <v>17</v>
      </c>
      <c r="C219" s="74"/>
      <c r="D219" s="74"/>
      <c r="E219" s="74">
        <f>+E152+(E$95*$E$193)+E$200+E203</f>
        <v>83.178124014462441</v>
      </c>
      <c r="F219" s="74">
        <f>+F152+(F$95*$E$193)+F$200+F203</f>
        <v>77.12850582809449</v>
      </c>
      <c r="G219" s="74">
        <f>+G152+(G$95*$E$193)+G$200+G203</f>
        <v>77.461019979952852</v>
      </c>
      <c r="H219" s="74"/>
      <c r="I219" s="74">
        <f>+I152+(I$95*$E$193)+I$200+I203</f>
        <v>54.49213395394446</v>
      </c>
      <c r="J219" s="74"/>
      <c r="K219" s="74"/>
      <c r="M219" s="146"/>
      <c r="N219" s="146"/>
      <c r="O219" s="146"/>
      <c r="P219" s="146"/>
      <c r="Q219" s="146"/>
      <c r="R219" s="146"/>
    </row>
    <row r="220" spans="1:18" x14ac:dyDescent="0.25">
      <c r="A220" s="22"/>
      <c r="B220" s="77" t="s">
        <v>72</v>
      </c>
      <c r="C220" s="74"/>
      <c r="D220" s="74"/>
      <c r="E220" s="74">
        <f>+E153+(E$95*$E$193)+E$200+E$204</f>
        <v>128.77864926901347</v>
      </c>
      <c r="F220" s="74"/>
      <c r="G220" s="74"/>
      <c r="H220" s="74">
        <f>+H153+(H$95*$E$193)+H$200+H$204</f>
        <v>124.72764754224413</v>
      </c>
      <c r="I220" s="74"/>
      <c r="J220" s="74"/>
      <c r="M220" s="146"/>
      <c r="N220" s="146"/>
      <c r="O220" s="146"/>
      <c r="P220" s="146"/>
      <c r="Q220" s="146"/>
      <c r="R220" s="146"/>
    </row>
    <row r="221" spans="1:18" x14ac:dyDescent="0.25">
      <c r="A221" s="22"/>
      <c r="B221" s="77" t="s">
        <v>73</v>
      </c>
      <c r="C221" s="74"/>
      <c r="D221" s="74"/>
      <c r="E221" s="74">
        <f>+E154+(E$95*$E$193)+E$200</f>
        <v>51.666103224216599</v>
      </c>
      <c r="F221" s="74"/>
      <c r="G221" s="74"/>
      <c r="H221" s="74">
        <f>+H154+(H$95*$E$193)+H$200</f>
        <v>52.263351453372096</v>
      </c>
      <c r="I221" s="74"/>
      <c r="J221" s="74"/>
      <c r="M221" s="146"/>
      <c r="N221" s="146"/>
      <c r="O221" s="146"/>
      <c r="P221" s="146"/>
      <c r="Q221" s="146"/>
      <c r="R221" s="146"/>
    </row>
    <row r="222" spans="1:18" x14ac:dyDescent="0.25">
      <c r="A222" s="22"/>
      <c r="B222" s="89" t="s">
        <v>142</v>
      </c>
      <c r="C222" s="74"/>
      <c r="D222" s="74"/>
      <c r="E222" s="74"/>
      <c r="F222" s="74">
        <f>(F219*SUM(F65:F68)-C188*10*E187*SUM(F65:F68))/SUM(F65:F68)</f>
        <v>73.052579162242139</v>
      </c>
      <c r="G222" s="74"/>
      <c r="H222" s="74"/>
      <c r="I222" s="74"/>
      <c r="J222" s="74"/>
      <c r="M222" s="146"/>
      <c r="N222" s="146"/>
      <c r="O222" s="146"/>
      <c r="P222" s="146"/>
      <c r="Q222" s="146"/>
      <c r="R222" s="146"/>
    </row>
    <row r="223" spans="1:18" x14ac:dyDescent="0.25">
      <c r="A223" s="22"/>
      <c r="B223" s="89" t="s">
        <v>144</v>
      </c>
      <c r="C223" s="74"/>
      <c r="D223" s="74"/>
      <c r="E223" s="74"/>
      <c r="F223" s="74">
        <f>+F222+C188*10</f>
        <v>81.70457916224214</v>
      </c>
      <c r="G223" s="120"/>
      <c r="H223" s="74"/>
      <c r="I223" s="74"/>
      <c r="J223" s="74"/>
      <c r="M223" s="146"/>
      <c r="N223" s="146"/>
      <c r="O223" s="146"/>
      <c r="P223" s="146"/>
      <c r="Q223" s="146"/>
      <c r="R223" s="146"/>
    </row>
    <row r="224" spans="1:18" x14ac:dyDescent="0.25">
      <c r="A224" s="22"/>
      <c r="C224" s="74"/>
      <c r="D224" s="74"/>
      <c r="E224" s="74"/>
      <c r="F224" s="74"/>
      <c r="G224" s="74"/>
      <c r="H224" s="74"/>
      <c r="I224" s="74"/>
      <c r="J224" s="74"/>
      <c r="M224" s="146"/>
      <c r="N224" s="146"/>
      <c r="O224" s="146"/>
      <c r="P224" s="146"/>
      <c r="Q224" s="146"/>
      <c r="R224" s="146"/>
    </row>
    <row r="225" spans="1:18" x14ac:dyDescent="0.25">
      <c r="A225" s="22"/>
      <c r="B225" s="28" t="s">
        <v>18</v>
      </c>
      <c r="C225" s="74"/>
      <c r="D225" s="74"/>
      <c r="E225" s="74">
        <f>+E156+(E$95*$E$193)+E$200+E205</f>
        <v>78.523433690452975</v>
      </c>
      <c r="F225" s="74">
        <f>+F156+(F$95*$E$193)+F$200+F205</f>
        <v>79.405336608566813</v>
      </c>
      <c r="G225" s="74">
        <f>+G156+(G$95*$E$193)+G$200+G205</f>
        <v>74.743899456067879</v>
      </c>
      <c r="H225" s="74"/>
      <c r="I225" s="74">
        <f>+I156+(I$95*$E$193)+I$200+I205</f>
        <v>52.980043455924196</v>
      </c>
      <c r="J225" s="74"/>
      <c r="K225" s="74"/>
      <c r="M225" s="146"/>
      <c r="N225" s="146"/>
      <c r="O225" s="146"/>
      <c r="P225" s="146"/>
      <c r="Q225" s="146"/>
      <c r="R225" s="146"/>
    </row>
    <row r="226" spans="1:18" x14ac:dyDescent="0.25">
      <c r="A226" s="22"/>
      <c r="B226" s="77" t="s">
        <v>72</v>
      </c>
      <c r="C226" s="74"/>
      <c r="D226" s="74"/>
      <c r="E226" s="74">
        <f>+E157+(E$95*$E$193)+E$200+E$206</f>
        <v>126.32110421989211</v>
      </c>
      <c r="F226" s="74"/>
      <c r="G226" s="74"/>
      <c r="H226" s="74">
        <f>+H157+(H$95*$E$193)+H$200+H$206</f>
        <v>106.99686754014481</v>
      </c>
      <c r="I226" s="74"/>
      <c r="J226" s="74"/>
      <c r="M226" s="146"/>
      <c r="N226" s="146"/>
      <c r="O226" s="146"/>
      <c r="P226" s="146"/>
      <c r="Q226" s="146"/>
      <c r="R226" s="146"/>
    </row>
    <row r="227" spans="1:18" x14ac:dyDescent="0.25">
      <c r="A227" s="22"/>
      <c r="B227" s="77" t="s">
        <v>73</v>
      </c>
      <c r="C227" s="74"/>
      <c r="D227" s="74"/>
      <c r="E227" s="74">
        <f>+E158+(E$95*$E$193)+E$200</f>
        <v>52.206286733900967</v>
      </c>
      <c r="F227" s="74"/>
      <c r="G227" s="74"/>
      <c r="H227" s="74">
        <f>+H158+(H$95*$E$193)+H$200</f>
        <v>51.347123451655477</v>
      </c>
      <c r="I227" s="74"/>
      <c r="J227" s="74"/>
      <c r="M227" s="146"/>
      <c r="N227" s="146"/>
      <c r="O227" s="146"/>
      <c r="P227" s="146"/>
      <c r="Q227" s="146"/>
      <c r="R227" s="146"/>
    </row>
    <row r="228" spans="1:18" x14ac:dyDescent="0.25">
      <c r="A228" s="22"/>
      <c r="C228" s="74"/>
      <c r="D228" s="74"/>
      <c r="E228" s="74"/>
      <c r="F228" s="74"/>
      <c r="G228" s="74"/>
      <c r="H228" s="74"/>
      <c r="I228" s="74"/>
      <c r="J228" s="74"/>
      <c r="M228" s="146"/>
      <c r="N228" s="146"/>
      <c r="O228" s="146"/>
      <c r="P228" s="146"/>
      <c r="Q228" s="146"/>
      <c r="R228" s="146"/>
    </row>
    <row r="229" spans="1:18" x14ac:dyDescent="0.25">
      <c r="A229" s="22"/>
      <c r="B229" s="13" t="s">
        <v>98</v>
      </c>
      <c r="C229" s="74"/>
      <c r="D229" s="74"/>
      <c r="E229" s="74">
        <f>+E160+(E$95*$E$193)+E$200+E202</f>
        <v>80.02564632175978</v>
      </c>
      <c r="F229" s="74">
        <f>+F160+(F$95*$E$193)+F$200+F202</f>
        <v>78.459734123405909</v>
      </c>
      <c r="G229" s="74">
        <f>+G160+(G$95*$E$193)+G$200+G202</f>
        <v>75.737192051531608</v>
      </c>
      <c r="H229" s="74">
        <f>((H220*SUMPRODUCT(H38:H41,H65:H68)+H221*SUMPRODUCT(T38:T41,H65:H68))+(H226*(SUMPRODUCT(H33:H37,H60:H64)+SUMPRODUCT(H42:H44,H69:H71))+H227*(SUMPRODUCT(T33:T37,H60:H64)+SUMPRODUCT(T42:T44,H69:H71))))/H72</f>
        <v>78.592840717267379</v>
      </c>
      <c r="I229" s="74">
        <f>+I160+(I$95*$E$193)+I$200+I202</f>
        <v>53.483791373152641</v>
      </c>
      <c r="J229" s="74"/>
      <c r="K229" s="74"/>
      <c r="M229" s="146"/>
      <c r="N229" s="146"/>
      <c r="O229" s="146"/>
      <c r="P229" s="146"/>
      <c r="Q229" s="146"/>
      <c r="R229" s="146"/>
    </row>
    <row r="230" spans="1:18" x14ac:dyDescent="0.25">
      <c r="A230" s="22"/>
      <c r="C230" s="74"/>
      <c r="D230" s="74"/>
      <c r="E230" s="74"/>
      <c r="F230" s="74"/>
      <c r="G230" s="74"/>
      <c r="H230" s="74"/>
      <c r="I230" s="74"/>
      <c r="J230" s="74"/>
      <c r="K230" s="74"/>
      <c r="M230" s="146"/>
      <c r="N230" s="146"/>
      <c r="O230" s="146"/>
      <c r="P230" s="146"/>
      <c r="Q230" s="146"/>
      <c r="R230" s="146"/>
    </row>
    <row r="231" spans="1:18" x14ac:dyDescent="0.25">
      <c r="A231" s="22"/>
      <c r="B231" s="16" t="s">
        <v>99</v>
      </c>
      <c r="M231" s="146"/>
      <c r="N231" s="146"/>
      <c r="O231" s="146"/>
      <c r="P231" s="146"/>
      <c r="Q231" s="146"/>
      <c r="R231" s="146"/>
    </row>
    <row r="232" spans="1:18" x14ac:dyDescent="0.25">
      <c r="A232" s="22"/>
      <c r="B232" s="17" t="s">
        <v>100</v>
      </c>
      <c r="M232" s="146"/>
      <c r="N232" s="146"/>
      <c r="O232" s="146"/>
      <c r="P232" s="146"/>
      <c r="Q232" s="146"/>
      <c r="R232" s="146"/>
    </row>
    <row r="233" spans="1:18" x14ac:dyDescent="0.25">
      <c r="A233" s="22"/>
      <c r="B233" s="17" t="s">
        <v>21</v>
      </c>
      <c r="M233" s="146"/>
      <c r="N233" s="146"/>
      <c r="O233" s="146"/>
      <c r="P233" s="146"/>
      <c r="Q233" s="146"/>
      <c r="R233" s="146"/>
    </row>
    <row r="234" spans="1:18" x14ac:dyDescent="0.25">
      <c r="A234" s="22"/>
      <c r="B234" s="77"/>
      <c r="C234" s="74"/>
      <c r="D234" s="74"/>
      <c r="I234" s="89"/>
      <c r="J234" s="80"/>
      <c r="K234" s="93"/>
    </row>
    <row r="235" spans="1:18" x14ac:dyDescent="0.25">
      <c r="A235" s="22"/>
      <c r="C235" s="74"/>
      <c r="D235" s="74"/>
    </row>
    <row r="236" spans="1:18" x14ac:dyDescent="0.25">
      <c r="A236" s="22"/>
      <c r="B236" s="37" t="s">
        <v>101</v>
      </c>
      <c r="C236" s="74"/>
      <c r="D236" s="74"/>
      <c r="I236" s="96"/>
      <c r="K236" s="93"/>
    </row>
    <row r="237" spans="1:18" x14ac:dyDescent="0.25">
      <c r="A237" s="22"/>
      <c r="B237" s="77"/>
      <c r="C237" s="74"/>
      <c r="D237" s="74"/>
      <c r="I237" s="89"/>
      <c r="J237" s="97"/>
      <c r="K237" s="93"/>
    </row>
    <row r="238" spans="1:18" ht="15.6" x14ac:dyDescent="0.3">
      <c r="A238" s="22"/>
      <c r="B238" s="534" t="str">
        <f>$B$1</f>
        <v xml:space="preserve">Jersey Central Power &amp; Light </v>
      </c>
      <c r="C238" s="534"/>
      <c r="D238" s="534"/>
      <c r="E238" s="534"/>
      <c r="F238" s="534"/>
      <c r="G238" s="534"/>
      <c r="H238" s="534"/>
      <c r="I238" s="534"/>
      <c r="J238" s="534"/>
      <c r="K238" s="534"/>
      <c r="L238" s="534"/>
    </row>
    <row r="239" spans="1:18" ht="15.6" x14ac:dyDescent="0.3">
      <c r="A239" s="22"/>
      <c r="B239" s="534" t="str">
        <f>$B$2</f>
        <v>Attachment 2</v>
      </c>
      <c r="C239" s="534"/>
      <c r="D239" s="534"/>
      <c r="E239" s="534"/>
      <c r="F239" s="534"/>
      <c r="G239" s="534"/>
      <c r="H239" s="534"/>
      <c r="I239" s="534"/>
      <c r="J239" s="534"/>
      <c r="K239" s="534"/>
      <c r="L239" s="534"/>
    </row>
    <row r="240" spans="1:18" ht="15.6" x14ac:dyDescent="0.3">
      <c r="A240" s="22"/>
      <c r="B240" s="167"/>
      <c r="C240" s="167"/>
      <c r="D240" s="167"/>
      <c r="E240" s="167"/>
      <c r="F240" s="167"/>
      <c r="G240" s="167"/>
      <c r="H240" s="167"/>
      <c r="I240" s="167"/>
      <c r="J240" s="167"/>
      <c r="K240" s="167"/>
      <c r="L240" s="167"/>
    </row>
    <row r="241" spans="1:12" ht="15.6" x14ac:dyDescent="0.3">
      <c r="A241" s="18" t="s">
        <v>106</v>
      </c>
      <c r="B241" s="164" t="s">
        <v>241</v>
      </c>
      <c r="C241" s="20"/>
      <c r="E241" s="166"/>
      <c r="F241" s="38"/>
      <c r="K241" s="167"/>
      <c r="L241" s="167"/>
    </row>
    <row r="242" spans="1:12" ht="15.6" x14ac:dyDescent="0.3">
      <c r="B242" s="13" t="s">
        <v>242</v>
      </c>
      <c r="K242" s="167"/>
      <c r="L242" s="167"/>
    </row>
    <row r="243" spans="1:12" ht="15.6" x14ac:dyDescent="0.3">
      <c r="E243" s="26" t="s">
        <v>61</v>
      </c>
      <c r="F243" s="26" t="s">
        <v>62</v>
      </c>
      <c r="G243" s="26" t="s">
        <v>65</v>
      </c>
      <c r="H243" s="26" t="s">
        <v>203</v>
      </c>
      <c r="I243" s="26" t="s">
        <v>55</v>
      </c>
      <c r="K243" s="167"/>
      <c r="L243" s="167"/>
    </row>
    <row r="244" spans="1:12" ht="15.6" x14ac:dyDescent="0.3">
      <c r="K244" s="167"/>
      <c r="L244" s="167"/>
    </row>
    <row r="245" spans="1:12" ht="15.6" x14ac:dyDescent="0.3">
      <c r="B245" s="28" t="s">
        <v>17</v>
      </c>
      <c r="E245" s="55">
        <f>'Composite Cost Allocation'!E110</f>
        <v>2080422.4798940001</v>
      </c>
      <c r="G245" s="55">
        <f>'Composite Cost Allocation'!G110</f>
        <v>2187580000</v>
      </c>
      <c r="I245" s="55">
        <f>'Composite Cost Allocation'!I110</f>
        <v>38075000</v>
      </c>
      <c r="K245" s="167"/>
      <c r="L245" s="167"/>
    </row>
    <row r="246" spans="1:12" ht="15.6" x14ac:dyDescent="0.3">
      <c r="B246" s="77" t="s">
        <v>72</v>
      </c>
      <c r="E246" s="55">
        <f>'Composite Cost Allocation'!E111</f>
        <v>30286611</v>
      </c>
      <c r="H246" s="55">
        <f>'Composite Cost Allocation'!H111</f>
        <v>15200926.100000001</v>
      </c>
      <c r="K246" s="167"/>
      <c r="L246" s="167"/>
    </row>
    <row r="247" spans="1:12" ht="15.6" x14ac:dyDescent="0.3">
      <c r="B247" s="77" t="s">
        <v>73</v>
      </c>
      <c r="E247" s="55">
        <f>'Composite Cost Allocation'!E112</f>
        <v>43822966.520106003</v>
      </c>
      <c r="H247" s="55">
        <f>'Composite Cost Allocation'!H112</f>
        <v>17415073.899999999</v>
      </c>
      <c r="K247" s="167"/>
      <c r="L247" s="167"/>
    </row>
    <row r="248" spans="1:12" ht="15.6" x14ac:dyDescent="0.3">
      <c r="B248" s="89" t="s">
        <v>142</v>
      </c>
      <c r="F248" s="55">
        <f>'Composite Cost Allocation'!F113</f>
        <v>1937650000</v>
      </c>
      <c r="K248" s="167"/>
      <c r="L248" s="167"/>
    </row>
    <row r="249" spans="1:12" ht="15.6" x14ac:dyDescent="0.3">
      <c r="B249" s="89" t="s">
        <v>144</v>
      </c>
      <c r="F249" s="55">
        <f>'Composite Cost Allocation'!F114</f>
        <v>1725873000</v>
      </c>
      <c r="K249" s="167"/>
      <c r="L249" s="167"/>
    </row>
    <row r="250" spans="1:12" ht="15.6" x14ac:dyDescent="0.3">
      <c r="K250" s="167"/>
      <c r="L250" s="167"/>
    </row>
    <row r="251" spans="1:12" ht="15.6" x14ac:dyDescent="0.3">
      <c r="B251" s="28" t="s">
        <v>18</v>
      </c>
      <c r="E251" s="55">
        <f>'Composite Cost Allocation'!E116</f>
        <v>4242572.9285309995</v>
      </c>
      <c r="F251" s="55">
        <f>'Composite Cost Allocation'!F116</f>
        <v>5157543000</v>
      </c>
      <c r="G251" s="55">
        <f>'Composite Cost Allocation'!G116</f>
        <v>3796476000</v>
      </c>
      <c r="I251" s="55">
        <f>'Composite Cost Allocation'!I116</f>
        <v>76214000</v>
      </c>
      <c r="K251" s="167"/>
      <c r="L251" s="167"/>
    </row>
    <row r="252" spans="1:12" ht="15.6" x14ac:dyDescent="0.3">
      <c r="B252" s="77" t="s">
        <v>72</v>
      </c>
      <c r="E252" s="55">
        <f>'Composite Cost Allocation'!E117</f>
        <v>55263715.358677089</v>
      </c>
      <c r="H252" s="55">
        <f>'Composite Cost Allocation'!H117</f>
        <v>37452340.899999999</v>
      </c>
      <c r="K252" s="167"/>
      <c r="L252" s="167"/>
    </row>
    <row r="253" spans="1:12" ht="15.6" x14ac:dyDescent="0.3">
      <c r="B253" s="77" t="s">
        <v>73</v>
      </c>
      <c r="E253" s="55">
        <f>'Composite Cost Allocation'!E118</f>
        <v>100382711.71279192</v>
      </c>
      <c r="H253" s="55">
        <f>'Composite Cost Allocation'!H118</f>
        <v>47954659.100000001</v>
      </c>
      <c r="K253" s="167"/>
      <c r="L253" s="167"/>
    </row>
    <row r="254" spans="1:12" ht="15.6" x14ac:dyDescent="0.3">
      <c r="J254" s="26" t="s">
        <v>13</v>
      </c>
      <c r="K254" s="167"/>
      <c r="L254" s="167"/>
    </row>
    <row r="255" spans="1:12" ht="15.6" x14ac:dyDescent="0.3">
      <c r="B255" s="89" t="s">
        <v>162</v>
      </c>
      <c r="E255" s="55">
        <f>SUM(E245:E249)</f>
        <v>76190000</v>
      </c>
      <c r="F255" s="55">
        <f>SUM(F245:F249)</f>
        <v>3663523000</v>
      </c>
      <c r="G255" s="55">
        <f>SUM(G245:G249)</f>
        <v>2187580000</v>
      </c>
      <c r="H255" s="55">
        <f>SUM(H245:H249)</f>
        <v>32616000</v>
      </c>
      <c r="I255" s="55">
        <f>SUM(I245:I249)</f>
        <v>38075000</v>
      </c>
      <c r="J255" s="55">
        <f>SUM(E255:I255)</f>
        <v>5997984000</v>
      </c>
      <c r="K255" s="167"/>
      <c r="L255" s="167"/>
    </row>
    <row r="256" spans="1:12" ht="15.6" x14ac:dyDescent="0.3">
      <c r="B256" s="89" t="s">
        <v>163</v>
      </c>
      <c r="E256" s="139">
        <f>SUM(E251:E253)</f>
        <v>159889000</v>
      </c>
      <c r="F256" s="139">
        <f>SUM(F251:F253)</f>
        <v>5157543000</v>
      </c>
      <c r="G256" s="134">
        <f>SUM(G251:G253)</f>
        <v>3796476000</v>
      </c>
      <c r="H256" s="134">
        <f>SUM(H251:H253)</f>
        <v>85407000</v>
      </c>
      <c r="I256" s="134">
        <f>SUM(I251:I253)</f>
        <v>76214000</v>
      </c>
      <c r="J256" s="139">
        <f>SUM(E256:I256)</f>
        <v>9275529000</v>
      </c>
      <c r="K256" s="167"/>
      <c r="L256" s="167"/>
    </row>
    <row r="257" spans="1:15" ht="15.6" x14ac:dyDescent="0.3">
      <c r="B257" s="89" t="s">
        <v>164</v>
      </c>
      <c r="E257" s="55">
        <f>SUM(E255:E256)</f>
        <v>236079000</v>
      </c>
      <c r="F257" s="55">
        <f>SUM(F255:F256)</f>
        <v>8821066000</v>
      </c>
      <c r="G257" s="55">
        <f>SUM(G255:G256)</f>
        <v>5984056000</v>
      </c>
      <c r="H257" s="55">
        <f>SUM(H255:H256)</f>
        <v>118023000</v>
      </c>
      <c r="I257" s="55">
        <f>SUM(I255:I256)</f>
        <v>114289000</v>
      </c>
      <c r="J257" s="55">
        <f>SUM(E257:I257)</f>
        <v>15273513000</v>
      </c>
      <c r="K257" s="167"/>
      <c r="L257" s="167"/>
    </row>
    <row r="258" spans="1:15" ht="15.6" x14ac:dyDescent="0.3">
      <c r="A258" s="22"/>
      <c r="B258" s="167"/>
      <c r="C258" s="167"/>
      <c r="D258" s="167"/>
      <c r="E258" s="167"/>
      <c r="F258" s="167"/>
      <c r="G258" s="167"/>
      <c r="H258" s="167"/>
      <c r="I258" s="167"/>
      <c r="J258" s="167"/>
      <c r="K258" s="167"/>
      <c r="L258" s="167"/>
    </row>
    <row r="259" spans="1:15" ht="15.6" x14ac:dyDescent="0.3">
      <c r="A259" s="22"/>
      <c r="B259" s="167"/>
      <c r="C259" s="167"/>
      <c r="D259" s="167"/>
      <c r="E259" s="167"/>
      <c r="F259" s="167"/>
      <c r="G259" s="167"/>
      <c r="H259" s="167"/>
      <c r="I259" s="167"/>
      <c r="J259" s="167"/>
      <c r="K259" s="167"/>
      <c r="L259" s="167"/>
    </row>
    <row r="261" spans="1:15" x14ac:dyDescent="0.25">
      <c r="A261" s="6" t="s">
        <v>133</v>
      </c>
      <c r="B261" s="1" t="s">
        <v>168</v>
      </c>
      <c r="C261"/>
      <c r="D261"/>
      <c r="E261"/>
      <c r="F261"/>
      <c r="G261"/>
      <c r="H261"/>
      <c r="I261"/>
      <c r="J261"/>
      <c r="K261"/>
      <c r="L261"/>
    </row>
    <row r="262" spans="1:15" x14ac:dyDescent="0.25">
      <c r="A262" s="7"/>
      <c r="B262" s="1"/>
      <c r="C262"/>
      <c r="D262"/>
      <c r="E262"/>
      <c r="F262"/>
      <c r="G262"/>
      <c r="H262"/>
      <c r="I262"/>
      <c r="J262"/>
      <c r="K262"/>
      <c r="L262"/>
    </row>
    <row r="263" spans="1:15" x14ac:dyDescent="0.25">
      <c r="A263" s="7"/>
      <c r="B263"/>
      <c r="C263" s="2"/>
      <c r="D263" s="2"/>
      <c r="E263" s="26" t="str">
        <f>+E$13</f>
        <v>RT{1}</v>
      </c>
      <c r="F263" s="26" t="str">
        <f>+F$13</f>
        <v>RS{2}</v>
      </c>
      <c r="G263" s="26" t="str">
        <f>+G$13</f>
        <v>GS{3}</v>
      </c>
      <c r="H263" s="156" t="str">
        <f>+H$58</f>
        <v>GST {4}</v>
      </c>
      <c r="I263" s="26" t="str">
        <f>+I$13</f>
        <v>OL/SL</v>
      </c>
      <c r="J263" s="2" t="s">
        <v>13</v>
      </c>
      <c r="K263" s="2"/>
      <c r="L263" s="2"/>
    </row>
    <row r="264" spans="1:15" x14ac:dyDescent="0.25">
      <c r="A264" s="7"/>
      <c r="B264" t="s">
        <v>134</v>
      </c>
      <c r="C264"/>
      <c r="D264"/>
      <c r="E264"/>
      <c r="F264"/>
      <c r="G264"/>
      <c r="H264"/>
      <c r="I264"/>
      <c r="J264"/>
      <c r="K264"/>
      <c r="L264"/>
    </row>
    <row r="265" spans="1:15" x14ac:dyDescent="0.25">
      <c r="A265" s="7"/>
      <c r="B265" s="28" t="s">
        <v>17</v>
      </c>
      <c r="C265" s="150"/>
      <c r="D265" s="150"/>
      <c r="E265" s="150">
        <f>+E219*E245/1000000</f>
        <v>173.04563903509865</v>
      </c>
      <c r="F265" s="150"/>
      <c r="G265" s="150">
        <f>+G219*G245/1000000</f>
        <v>169452.17808774527</v>
      </c>
      <c r="H265" s="145"/>
      <c r="I265" s="150">
        <f>+I219*I245/1000000</f>
        <v>2074.7880002964353</v>
      </c>
      <c r="J265" s="150"/>
      <c r="K265" s="150"/>
      <c r="L265" s="150"/>
    </row>
    <row r="266" spans="1:15" x14ac:dyDescent="0.25">
      <c r="A266" s="7"/>
      <c r="B266" s="77" t="s">
        <v>72</v>
      </c>
      <c r="C266" s="150"/>
      <c r="D266" s="150"/>
      <c r="E266" s="150">
        <f>+E220*E246/1000000</f>
        <v>3900.2688555160457</v>
      </c>
      <c r="F266" s="150"/>
      <c r="G266" s="150"/>
      <c r="H266" s="150">
        <f>+H220*H246/1000000</f>
        <v>1895.9757529164999</v>
      </c>
      <c r="I266" s="150"/>
      <c r="J266" s="150"/>
      <c r="K266" s="150"/>
      <c r="L266" s="150"/>
    </row>
    <row r="267" spans="1:15" x14ac:dyDescent="0.25">
      <c r="A267" s="7"/>
      <c r="B267" s="77" t="s">
        <v>73</v>
      </c>
      <c r="C267" s="150"/>
      <c r="D267" s="150"/>
      <c r="E267" s="150">
        <f>+E221*E247/1000000</f>
        <v>2264.1619118191848</v>
      </c>
      <c r="F267" s="150"/>
      <c r="G267" s="150"/>
      <c r="H267" s="150">
        <f>+H221*H247/1000000</f>
        <v>910.17012782214738</v>
      </c>
      <c r="I267" s="150"/>
      <c r="J267" s="150"/>
      <c r="K267" s="81"/>
      <c r="L267" s="81"/>
      <c r="M267" s="81"/>
      <c r="N267" s="81"/>
      <c r="O267" s="81"/>
    </row>
    <row r="268" spans="1:15" x14ac:dyDescent="0.25">
      <c r="A268" s="7"/>
      <c r="B268" s="89" t="s">
        <v>142</v>
      </c>
      <c r="C268" s="150"/>
      <c r="D268" s="150"/>
      <c r="E268" s="150"/>
      <c r="F268" s="150">
        <f>+F222*F248/1000000</f>
        <v>141550.33001371849</v>
      </c>
      <c r="G268" s="150"/>
      <c r="H268" s="145"/>
      <c r="I268" s="150"/>
      <c r="J268" s="150"/>
      <c r="K268" s="150"/>
      <c r="L268" s="150"/>
    </row>
    <row r="269" spans="1:15" x14ac:dyDescent="0.25">
      <c r="A269" s="7"/>
      <c r="B269" s="89" t="s">
        <v>144</v>
      </c>
      <c r="C269" s="150"/>
      <c r="D269" s="150"/>
      <c r="E269" s="150"/>
      <c r="F269" s="150">
        <f>+F223*F249/1000000</f>
        <v>141011.72715247632</v>
      </c>
      <c r="G269" s="150"/>
      <c r="H269" s="145"/>
      <c r="I269" s="150"/>
      <c r="J269" s="150"/>
      <c r="K269" s="150"/>
      <c r="L269" s="150"/>
    </row>
    <row r="270" spans="1:15" x14ac:dyDescent="0.25">
      <c r="A270" s="7"/>
      <c r="C270" s="150"/>
      <c r="D270" s="150"/>
      <c r="E270" s="150"/>
      <c r="F270" s="150"/>
      <c r="G270" s="150"/>
      <c r="H270" s="145"/>
      <c r="I270" s="150"/>
      <c r="J270" s="150"/>
      <c r="K270" s="150"/>
      <c r="L270" s="150"/>
    </row>
    <row r="271" spans="1:15" x14ac:dyDescent="0.25">
      <c r="A271" s="7"/>
      <c r="B271" s="28" t="s">
        <v>18</v>
      </c>
      <c r="C271" s="150"/>
      <c r="D271" s="150"/>
      <c r="E271" s="150">
        <f>+E225*E251/1000000</f>
        <v>333.1413940304148</v>
      </c>
      <c r="F271" s="150">
        <f>+F225*F251/1000000</f>
        <v>409536.43798815756</v>
      </c>
      <c r="G271" s="150">
        <f>+G225*G251/1000000</f>
        <v>283763.42043137475</v>
      </c>
      <c r="I271" s="150">
        <f>+I225*I251/1000000</f>
        <v>4037.8210319498066</v>
      </c>
      <c r="J271" s="150"/>
      <c r="K271" s="150"/>
      <c r="L271" s="150"/>
    </row>
    <row r="272" spans="1:15" x14ac:dyDescent="0.25">
      <c r="A272" s="7"/>
      <c r="B272" s="77" t="s">
        <v>72</v>
      </c>
      <c r="C272" s="150"/>
      <c r="D272" s="150"/>
      <c r="E272" s="150">
        <f>+E226*E252/1000000</f>
        <v>6980.9735474018999</v>
      </c>
      <c r="F272" s="3"/>
      <c r="G272" s="3"/>
      <c r="H272" s="150">
        <f>+H226*H252/1000000</f>
        <v>4007.2831583456473</v>
      </c>
      <c r="I272" s="3"/>
      <c r="J272" s="150"/>
      <c r="K272" s="150"/>
      <c r="L272" s="150"/>
    </row>
    <row r="273" spans="1:12" x14ac:dyDescent="0.25">
      <c r="A273" s="7"/>
      <c r="B273" s="77" t="s">
        <v>73</v>
      </c>
      <c r="C273" s="3"/>
      <c r="D273" s="3"/>
      <c r="E273" s="150">
        <f>+E227*E253/1000000</f>
        <v>5240.6086308045342</v>
      </c>
      <c r="H273" s="150">
        <f>+H227*H253/1000000</f>
        <v>2462.333800889754</v>
      </c>
      <c r="J273" s="150"/>
      <c r="K273" s="150"/>
      <c r="L273" s="150"/>
    </row>
    <row r="274" spans="1:12" x14ac:dyDescent="0.25">
      <c r="A274" s="7"/>
      <c r="B274" s="5"/>
      <c r="C274"/>
      <c r="D274"/>
      <c r="E274"/>
      <c r="F274"/>
      <c r="G274"/>
      <c r="H274"/>
      <c r="I274"/>
      <c r="J274"/>
      <c r="K274"/>
      <c r="L274"/>
    </row>
    <row r="275" spans="1:12" x14ac:dyDescent="0.25">
      <c r="A275" s="7"/>
      <c r="B275" t="s">
        <v>135</v>
      </c>
      <c r="C275"/>
      <c r="D275"/>
      <c r="E275"/>
      <c r="F275"/>
      <c r="G275"/>
      <c r="H275"/>
      <c r="I275"/>
      <c r="J275"/>
      <c r="K275"/>
      <c r="L275"/>
    </row>
    <row r="276" spans="1:12" x14ac:dyDescent="0.25">
      <c r="A276" s="7"/>
      <c r="B276" s="5" t="s">
        <v>25</v>
      </c>
      <c r="D276"/>
      <c r="E276" s="3">
        <f>SUM(E265:E269)</f>
        <v>6337.4764063703296</v>
      </c>
      <c r="F276" s="3">
        <f>SUM(F265:F269)</f>
        <v>282562.05716619478</v>
      </c>
      <c r="G276" s="3">
        <f>SUM(G265:G269)</f>
        <v>169452.17808774527</v>
      </c>
      <c r="H276" s="3">
        <f>SUM(H265:H269)</f>
        <v>2806.1458807386471</v>
      </c>
      <c r="I276" s="3">
        <f>SUM(I265:I269)</f>
        <v>2074.7880002964353</v>
      </c>
      <c r="J276" s="152">
        <f>SUM(E276:I276)</f>
        <v>463232.64554134547</v>
      </c>
      <c r="K276"/>
      <c r="L276"/>
    </row>
    <row r="277" spans="1:12" x14ac:dyDescent="0.25">
      <c r="A277" s="7"/>
      <c r="B277" s="5" t="s">
        <v>26</v>
      </c>
      <c r="D277"/>
      <c r="E277" s="3">
        <f>SUM(E271:E273)</f>
        <v>12554.72357223685</v>
      </c>
      <c r="F277" s="3">
        <f>SUM(F271:F273)</f>
        <v>409536.43798815756</v>
      </c>
      <c r="G277" s="3">
        <f>SUM(G271:G273)</f>
        <v>283763.42043137475</v>
      </c>
      <c r="H277" s="3">
        <f>SUM(H271:H273)</f>
        <v>6469.6169592354017</v>
      </c>
      <c r="I277" s="3">
        <f>SUM(I271:I273)</f>
        <v>4037.8210319498066</v>
      </c>
      <c r="J277" s="152">
        <f>SUM(E277:I277)</f>
        <v>716362.01998295437</v>
      </c>
      <c r="K277"/>
      <c r="L277"/>
    </row>
    <row r="278" spans="1:12" x14ac:dyDescent="0.25">
      <c r="A278" s="7"/>
      <c r="B278" s="5" t="s">
        <v>13</v>
      </c>
      <c r="D278"/>
      <c r="E278" s="3">
        <f>SUM(E276:E277)</f>
        <v>18892.199978607179</v>
      </c>
      <c r="F278" s="3">
        <f>SUM(F276:F277)</f>
        <v>692098.49515435239</v>
      </c>
      <c r="G278" s="3">
        <f>SUM(G276:G277)</f>
        <v>453215.59851912002</v>
      </c>
      <c r="H278" s="3">
        <f>SUM(H276:H277)</f>
        <v>9275.7628399740497</v>
      </c>
      <c r="I278" s="3">
        <f>SUM(I276:I277)</f>
        <v>6112.6090322462424</v>
      </c>
      <c r="J278" s="3">
        <f>SUM(E278:I278)</f>
        <v>1179594.6655243</v>
      </c>
      <c r="L278"/>
    </row>
    <row r="279" spans="1:12" x14ac:dyDescent="0.25">
      <c r="A279" s="7"/>
      <c r="B279"/>
      <c r="C279"/>
      <c r="D279"/>
      <c r="E279"/>
      <c r="F279"/>
      <c r="G279"/>
      <c r="H279"/>
      <c r="J279"/>
      <c r="L279"/>
    </row>
    <row r="280" spans="1:12" x14ac:dyDescent="0.25">
      <c r="A280" s="7"/>
      <c r="B280" t="s">
        <v>136</v>
      </c>
      <c r="C280"/>
      <c r="D280"/>
      <c r="E280"/>
      <c r="F280"/>
      <c r="G280"/>
      <c r="H280"/>
      <c r="J280"/>
      <c r="L280"/>
    </row>
    <row r="281" spans="1:12" x14ac:dyDescent="0.25">
      <c r="A281" s="7"/>
      <c r="B281" s="5" t="s">
        <v>25</v>
      </c>
      <c r="C281"/>
      <c r="D281"/>
      <c r="E281" s="151">
        <f t="shared" ref="E281:J281" si="11">+E276/E278</f>
        <v>0.33545465396018731</v>
      </c>
      <c r="F281" s="151">
        <f t="shared" si="11"/>
        <v>0.40826856169247638</v>
      </c>
      <c r="G281" s="151">
        <f t="shared" si="11"/>
        <v>0.37388867161992995</v>
      </c>
      <c r="H281" s="151">
        <f t="shared" si="11"/>
        <v>0.30252453939912266</v>
      </c>
      <c r="I281" s="151">
        <f t="shared" si="11"/>
        <v>0.33942756511191402</v>
      </c>
      <c r="J281" s="151">
        <f t="shared" si="11"/>
        <v>0.39270493422878466</v>
      </c>
      <c r="L281"/>
    </row>
    <row r="282" spans="1:12" x14ac:dyDescent="0.25">
      <c r="A282" s="7"/>
      <c r="B282" s="5" t="s">
        <v>26</v>
      </c>
      <c r="C282"/>
      <c r="D282"/>
      <c r="E282" s="151">
        <f t="shared" ref="E282:J282" si="12">+E277/E278</f>
        <v>0.66454534603981263</v>
      </c>
      <c r="F282" s="151">
        <f t="shared" si="12"/>
        <v>0.59173143830752351</v>
      </c>
      <c r="G282" s="151">
        <f t="shared" si="12"/>
        <v>0.62611132838007011</v>
      </c>
      <c r="H282" s="151">
        <f t="shared" si="12"/>
        <v>0.69747546060087728</v>
      </c>
      <c r="I282" s="151">
        <f t="shared" si="12"/>
        <v>0.66057243488808592</v>
      </c>
      <c r="J282" s="151">
        <f t="shared" si="12"/>
        <v>0.60729506577121528</v>
      </c>
      <c r="L282"/>
    </row>
    <row r="283" spans="1:12" x14ac:dyDescent="0.25">
      <c r="A283" s="7"/>
      <c r="B283" s="5"/>
      <c r="C283"/>
      <c r="D283"/>
      <c r="E283" s="151"/>
      <c r="F283" s="151"/>
      <c r="G283" s="151"/>
      <c r="H283" s="151"/>
      <c r="I283" s="151"/>
      <c r="J283" s="151"/>
      <c r="L283"/>
    </row>
    <row r="284" spans="1:12" x14ac:dyDescent="0.25">
      <c r="A284" s="7"/>
      <c r="B284" s="5"/>
      <c r="C284"/>
      <c r="D284"/>
      <c r="E284" s="151"/>
      <c r="F284" s="151"/>
      <c r="G284" s="151"/>
      <c r="H284" s="151"/>
      <c r="I284" s="151"/>
      <c r="J284" s="151"/>
      <c r="L284"/>
    </row>
    <row r="285" spans="1:12" ht="15.6" x14ac:dyDescent="0.3">
      <c r="A285" s="22"/>
      <c r="B285" s="534" t="str">
        <f>$B$1</f>
        <v xml:space="preserve">Jersey Central Power &amp; Light </v>
      </c>
      <c r="C285" s="534"/>
      <c r="D285" s="534"/>
      <c r="E285" s="534"/>
      <c r="F285" s="534"/>
      <c r="G285" s="534"/>
      <c r="H285" s="534"/>
      <c r="I285" s="534"/>
      <c r="J285" s="534"/>
      <c r="K285" s="534"/>
      <c r="L285" s="534"/>
    </row>
    <row r="286" spans="1:12" ht="15.6" x14ac:dyDescent="0.3">
      <c r="A286" s="22"/>
      <c r="B286" s="534" t="str">
        <f>$B$2</f>
        <v>Attachment 2</v>
      </c>
      <c r="C286" s="534"/>
      <c r="D286" s="534"/>
      <c r="E286" s="534"/>
      <c r="F286" s="534"/>
      <c r="G286" s="534"/>
      <c r="H286" s="534"/>
      <c r="I286" s="534"/>
      <c r="J286" s="534"/>
      <c r="K286" s="534"/>
      <c r="L286" s="534"/>
    </row>
    <row r="287" spans="1:12" x14ac:dyDescent="0.25">
      <c r="A287" s="7"/>
      <c r="B287" s="5"/>
      <c r="C287"/>
      <c r="D287"/>
      <c r="E287" s="151"/>
      <c r="F287" s="151"/>
      <c r="G287" s="151"/>
      <c r="H287" s="151"/>
      <c r="I287" s="151"/>
      <c r="J287" s="151"/>
      <c r="L287"/>
    </row>
    <row r="288" spans="1:12" x14ac:dyDescent="0.25">
      <c r="A288" s="6" t="s">
        <v>138</v>
      </c>
      <c r="B288" s="1" t="s">
        <v>248</v>
      </c>
      <c r="C288"/>
      <c r="D288"/>
      <c r="E288"/>
      <c r="G288" s="81"/>
      <c r="J288"/>
      <c r="L288"/>
    </row>
    <row r="289" spans="1:12" x14ac:dyDescent="0.25">
      <c r="A289" s="7"/>
      <c r="C289" s="74"/>
      <c r="D289" s="74"/>
      <c r="J289"/>
      <c r="L289"/>
    </row>
    <row r="290" spans="1:12" x14ac:dyDescent="0.25">
      <c r="A290" s="7"/>
      <c r="B290" s="16" t="s">
        <v>232</v>
      </c>
      <c r="C290" s="74"/>
      <c r="D290" s="74"/>
      <c r="J290"/>
      <c r="L290"/>
    </row>
    <row r="291" spans="1:12" x14ac:dyDescent="0.25">
      <c r="A291" s="7"/>
      <c r="B291" s="89" t="s">
        <v>103</v>
      </c>
      <c r="C291" s="145">
        <f>J278</f>
        <v>1179594.6655243</v>
      </c>
      <c r="J291"/>
      <c r="L291"/>
    </row>
    <row r="292" spans="1:12" x14ac:dyDescent="0.25">
      <c r="A292" s="7"/>
      <c r="B292" s="16"/>
      <c r="C292" s="145"/>
      <c r="J292"/>
      <c r="L292"/>
    </row>
    <row r="293" spans="1:12" x14ac:dyDescent="0.25">
      <c r="A293" s="7"/>
      <c r="B293" s="16" t="s">
        <v>230</v>
      </c>
      <c r="C293" s="145"/>
      <c r="E293" s="26" t="str">
        <f>+E$13</f>
        <v>RT{1}</v>
      </c>
      <c r="F293" s="26" t="str">
        <f>+F$13</f>
        <v>RS{2}</v>
      </c>
      <c r="G293" s="26" t="str">
        <f>+G$13</f>
        <v>GS{3}</v>
      </c>
      <c r="H293" s="156" t="str">
        <f>+H$58</f>
        <v>GST {4}</v>
      </c>
      <c r="I293" s="26" t="str">
        <f>+I$13</f>
        <v>OL/SL</v>
      </c>
      <c r="J293" s="2" t="s">
        <v>13</v>
      </c>
      <c r="L293"/>
    </row>
    <row r="294" spans="1:12" x14ac:dyDescent="0.25">
      <c r="A294" s="7"/>
      <c r="B294" s="21" t="s">
        <v>25</v>
      </c>
      <c r="C294" s="145"/>
      <c r="E294" s="162">
        <f>ROUND(SUM(E65:E68)*E95,0)</f>
        <v>85180</v>
      </c>
      <c r="F294" s="162">
        <f>ROUND(SUM(F65:F68)*F95,0)</f>
        <v>4095816</v>
      </c>
      <c r="G294" s="162">
        <f>ROUND(SUM(G65:G68)*G95,0)</f>
        <v>2445713</v>
      </c>
      <c r="H294" s="162">
        <f>ROUND(SUM(H65:H68)*H95,0)</f>
        <v>36465</v>
      </c>
      <c r="I294" s="162">
        <f>ROUND(SUM(I65:I68)*I95,0)</f>
        <v>42568</v>
      </c>
      <c r="J294" s="162">
        <f>SUM(E294:I294)</f>
        <v>6705742</v>
      </c>
      <c r="L294"/>
    </row>
    <row r="295" spans="1:12" x14ac:dyDescent="0.25">
      <c r="A295" s="7"/>
      <c r="B295" s="12" t="s">
        <v>26</v>
      </c>
      <c r="C295" s="145"/>
      <c r="E295" s="162">
        <f>ROUND((E72-SUM(E65:E68))*E95,0)</f>
        <v>178756</v>
      </c>
      <c r="F295" s="162">
        <f>ROUND((F72-SUM(F65:F68))*F95,0)</f>
        <v>5766129</v>
      </c>
      <c r="G295" s="162">
        <f>ROUND((G72-SUM(G65:G68))*G95,0)</f>
        <v>4244457</v>
      </c>
      <c r="H295" s="162">
        <f>ROUND((H72-SUM(H65:H68))*H95,0)</f>
        <v>95485</v>
      </c>
      <c r="I295" s="162">
        <f>ROUND((I72-SUM(I65:I68))*I95,0)</f>
        <v>85207</v>
      </c>
      <c r="J295" s="162">
        <f>SUM(E295:I295)</f>
        <v>10370034</v>
      </c>
      <c r="L295"/>
    </row>
    <row r="296" spans="1:12" x14ac:dyDescent="0.25">
      <c r="A296" s="7"/>
      <c r="C296" s="89"/>
      <c r="D296" s="146"/>
      <c r="J296" s="4"/>
      <c r="L296"/>
    </row>
    <row r="297" spans="1:12" x14ac:dyDescent="0.25">
      <c r="A297" s="7"/>
      <c r="B297" s="16" t="s">
        <v>233</v>
      </c>
      <c r="C297" s="89"/>
      <c r="D297" s="161" t="s">
        <v>221</v>
      </c>
      <c r="E297" s="134" t="s">
        <v>227</v>
      </c>
      <c r="J297"/>
      <c r="L297"/>
    </row>
    <row r="298" spans="1:12" x14ac:dyDescent="0.25">
      <c r="A298" s="7"/>
      <c r="B298" s="285" t="s">
        <v>474</v>
      </c>
      <c r="D298" s="38" t="s">
        <v>224</v>
      </c>
      <c r="E298" s="127">
        <v>69.08</v>
      </c>
      <c r="F298" s="38" t="s">
        <v>229</v>
      </c>
      <c r="G298" s="38" t="s">
        <v>231</v>
      </c>
      <c r="J298"/>
      <c r="L298"/>
    </row>
    <row r="299" spans="1:12" x14ac:dyDescent="0.25">
      <c r="A299" s="7"/>
      <c r="B299" s="13" t="s">
        <v>226</v>
      </c>
      <c r="C299" s="89"/>
      <c r="D299" s="168">
        <v>1</v>
      </c>
      <c r="E299" s="315">
        <f>ROUND($E$298*D299,3)</f>
        <v>69.08</v>
      </c>
      <c r="F299" s="55">
        <f>J294</f>
        <v>6705742</v>
      </c>
      <c r="G299" s="145">
        <f>ROUND(F299*E299/1000,0)</f>
        <v>463233</v>
      </c>
      <c r="J299"/>
      <c r="L299"/>
    </row>
    <row r="300" spans="1:12" ht="15" x14ac:dyDescent="0.4">
      <c r="A300" s="7"/>
      <c r="B300" s="13" t="s">
        <v>228</v>
      </c>
      <c r="C300" s="89"/>
      <c r="D300" s="168">
        <v>1</v>
      </c>
      <c r="E300" s="315">
        <f>ROUND($E$298*D300,3)</f>
        <v>69.08</v>
      </c>
      <c r="F300" s="55">
        <f>J295</f>
        <v>10370034</v>
      </c>
      <c r="G300" s="85">
        <f>ROUND(F300*E300/1000,0)</f>
        <v>716362</v>
      </c>
      <c r="J300"/>
      <c r="L300"/>
    </row>
    <row r="301" spans="1:12" x14ac:dyDescent="0.25">
      <c r="A301" s="7"/>
      <c r="B301" s="13" t="s">
        <v>234</v>
      </c>
      <c r="C301" s="89"/>
      <c r="D301" s="146"/>
      <c r="G301" s="81">
        <f>SUM(G299:G300)</f>
        <v>1179595</v>
      </c>
      <c r="J301"/>
      <c r="L301"/>
    </row>
    <row r="302" spans="1:12" x14ac:dyDescent="0.25">
      <c r="A302" s="7"/>
      <c r="C302" s="89"/>
      <c r="D302" s="146"/>
      <c r="J302"/>
      <c r="L302"/>
    </row>
    <row r="303" spans="1:12" x14ac:dyDescent="0.25">
      <c r="A303" s="7"/>
      <c r="C303" s="89"/>
      <c r="D303" s="146"/>
      <c r="J303"/>
      <c r="L303"/>
    </row>
    <row r="304" spans="1:12" x14ac:dyDescent="0.25">
      <c r="A304" s="6" t="s">
        <v>243</v>
      </c>
      <c r="B304" s="1" t="s">
        <v>235</v>
      </c>
      <c r="C304" s="89"/>
      <c r="D304" s="146"/>
      <c r="F304" s="5" t="s">
        <v>221</v>
      </c>
      <c r="G304" s="5" t="s">
        <v>223</v>
      </c>
      <c r="H304" s="71"/>
      <c r="I304"/>
    </row>
    <row r="305" spans="1:15" x14ac:dyDescent="0.25">
      <c r="A305" s="7"/>
      <c r="B305"/>
      <c r="C305"/>
      <c r="D305"/>
      <c r="E305"/>
      <c r="F305" s="5" t="s">
        <v>237</v>
      </c>
      <c r="G305" s="5" t="s">
        <v>224</v>
      </c>
      <c r="H305" s="5" t="s">
        <v>223</v>
      </c>
      <c r="I305"/>
    </row>
    <row r="306" spans="1:15" x14ac:dyDescent="0.25">
      <c r="A306" s="7"/>
      <c r="B306" t="s">
        <v>236</v>
      </c>
      <c r="C306"/>
      <c r="D306"/>
      <c r="E306"/>
      <c r="F306" s="8" t="s">
        <v>231</v>
      </c>
      <c r="G306" s="8" t="s">
        <v>225</v>
      </c>
      <c r="H306" s="8" t="s">
        <v>224</v>
      </c>
      <c r="I306" s="10"/>
    </row>
    <row r="307" spans="1:15" x14ac:dyDescent="0.25">
      <c r="A307" s="7"/>
      <c r="B307" s="5" t="s">
        <v>25</v>
      </c>
      <c r="C307" s="316">
        <f>J276*1000/J294</f>
        <v>69.07999823753218</v>
      </c>
      <c r="D307" t="s">
        <v>137</v>
      </c>
      <c r="E307"/>
      <c r="F307" s="280">
        <f>E299</f>
        <v>69.08</v>
      </c>
      <c r="G307" s="160">
        <f>E299/C307</f>
        <v>1.0000000255134318</v>
      </c>
      <c r="H307" s="310">
        <v>1.2957339999999999</v>
      </c>
      <c r="M307" s="175"/>
    </row>
    <row r="308" spans="1:15" x14ac:dyDescent="0.25">
      <c r="A308" s="7"/>
      <c r="B308" s="5" t="s">
        <v>26</v>
      </c>
      <c r="C308" s="316">
        <f>J277*1000/J295</f>
        <v>69.080006872007786</v>
      </c>
      <c r="D308" t="s">
        <v>137</v>
      </c>
      <c r="E308"/>
      <c r="F308" s="280">
        <f>E300</f>
        <v>69.08</v>
      </c>
      <c r="G308" s="160">
        <f>E300/C308</f>
        <v>0.99999990052103205</v>
      </c>
      <c r="H308" s="310">
        <v>1.028527</v>
      </c>
      <c r="M308" s="175"/>
    </row>
    <row r="309" spans="1:15" x14ac:dyDescent="0.25">
      <c r="A309" s="7"/>
      <c r="B309" s="5"/>
      <c r="C309" s="153"/>
      <c r="D309"/>
      <c r="E309"/>
      <c r="F309"/>
      <c r="G309"/>
      <c r="H309" s="2"/>
      <c r="I309" s="104"/>
      <c r="M309" s="16"/>
      <c r="N309" s="104"/>
      <c r="O309" s="104"/>
    </row>
    <row r="310" spans="1:15" x14ac:dyDescent="0.25">
      <c r="A310" s="7"/>
      <c r="B310"/>
      <c r="C310"/>
      <c r="D310"/>
      <c r="E310" s="138"/>
      <c r="F310" s="4"/>
      <c r="G310"/>
      <c r="H310"/>
      <c r="I310"/>
      <c r="J310"/>
      <c r="K310"/>
      <c r="L310"/>
    </row>
    <row r="311" spans="1:15" x14ac:dyDescent="0.25">
      <c r="A311" s="16" t="s">
        <v>108</v>
      </c>
      <c r="E311" s="98"/>
      <c r="F311" s="101"/>
      <c r="I311"/>
      <c r="J311"/>
      <c r="K311"/>
      <c r="L311"/>
    </row>
    <row r="312" spans="1:15" x14ac:dyDescent="0.25">
      <c r="A312" s="22"/>
      <c r="B312" s="89" t="s">
        <v>132</v>
      </c>
      <c r="C312" s="102">
        <f>E179</f>
        <v>155.69800000000001</v>
      </c>
      <c r="D312" s="93" t="s">
        <v>160</v>
      </c>
      <c r="E312" s="98"/>
      <c r="F312" s="101"/>
      <c r="I312"/>
      <c r="J312"/>
      <c r="K312"/>
      <c r="L312"/>
    </row>
    <row r="313" spans="1:15" x14ac:dyDescent="0.25">
      <c r="A313" s="22"/>
      <c r="B313" s="89"/>
      <c r="C313" s="102">
        <f>E180</f>
        <v>155.69800000000001</v>
      </c>
      <c r="D313" s="93" t="s">
        <v>161</v>
      </c>
      <c r="E313" s="98"/>
      <c r="F313" s="101"/>
      <c r="I313"/>
      <c r="J313"/>
      <c r="K313"/>
      <c r="L313"/>
    </row>
    <row r="314" spans="1:15" x14ac:dyDescent="0.25">
      <c r="A314" s="22"/>
      <c r="B314" s="89" t="s">
        <v>159</v>
      </c>
      <c r="C314" s="81" t="s">
        <v>158</v>
      </c>
      <c r="D314" s="93"/>
      <c r="E314" s="98"/>
      <c r="F314" s="101"/>
      <c r="I314"/>
      <c r="J314"/>
      <c r="K314"/>
      <c r="L314"/>
    </row>
    <row r="315" spans="1:15" x14ac:dyDescent="0.25">
      <c r="A315" s="22"/>
      <c r="B315" s="89" t="s">
        <v>109</v>
      </c>
      <c r="C315" s="149">
        <f>+H173</f>
        <v>4</v>
      </c>
      <c r="D315" s="13" t="s">
        <v>110</v>
      </c>
      <c r="E315" s="98"/>
      <c r="F315" s="101"/>
      <c r="I315"/>
      <c r="J315"/>
      <c r="K315"/>
      <c r="L315"/>
    </row>
    <row r="316" spans="1:15" x14ac:dyDescent="0.25">
      <c r="A316" s="22"/>
      <c r="B316" s="89"/>
      <c r="C316" s="149">
        <f>+H174</f>
        <v>8</v>
      </c>
      <c r="D316" s="13" t="s">
        <v>111</v>
      </c>
      <c r="E316" s="98"/>
      <c r="F316" s="101"/>
      <c r="I316"/>
      <c r="J316"/>
      <c r="K316"/>
      <c r="L316"/>
    </row>
    <row r="317" spans="1:15" x14ac:dyDescent="0.25">
      <c r="A317" s="22"/>
      <c r="B317" s="89" t="s">
        <v>112</v>
      </c>
      <c r="C317" s="102">
        <f>+E193</f>
        <v>10.872</v>
      </c>
      <c r="D317" s="13" t="s">
        <v>113</v>
      </c>
      <c r="E317" s="98"/>
      <c r="F317" s="101"/>
      <c r="I317"/>
      <c r="J317"/>
      <c r="K317"/>
      <c r="L317"/>
    </row>
    <row r="318" spans="1:15" x14ac:dyDescent="0.25">
      <c r="A318" s="22"/>
      <c r="B318" s="89" t="s">
        <v>114</v>
      </c>
      <c r="C318" s="21" t="s">
        <v>251</v>
      </c>
      <c r="E318" s="98"/>
      <c r="F318" s="101"/>
      <c r="I318"/>
      <c r="J318"/>
      <c r="K318"/>
      <c r="L318"/>
    </row>
    <row r="319" spans="1:15" x14ac:dyDescent="0.25">
      <c r="A319" s="22"/>
      <c r="B319" s="89"/>
      <c r="C319" s="406" t="s">
        <v>473</v>
      </c>
      <c r="E319" s="98"/>
      <c r="F319" s="101"/>
      <c r="I319"/>
      <c r="J319"/>
      <c r="K319"/>
      <c r="L319"/>
    </row>
    <row r="320" spans="1:15" x14ac:dyDescent="0.25">
      <c r="A320" s="22"/>
      <c r="B320" s="89" t="s">
        <v>115</v>
      </c>
      <c r="C320" s="12" t="str">
        <f>'BGS PTY16 Cost Alloc'!C$318</f>
        <v xml:space="preserve"> forecasted 2017 energy use by class based upon PJM on/off % from 2014 through 2016 class load profiles</v>
      </c>
      <c r="E320" s="98"/>
      <c r="F320" s="101"/>
      <c r="I320"/>
      <c r="J320"/>
      <c r="K320"/>
      <c r="L320"/>
    </row>
    <row r="321" spans="1:12" x14ac:dyDescent="0.25">
      <c r="A321" s="22"/>
      <c r="B321" s="89"/>
      <c r="C321" s="12" t="str">
        <f>'BGS PTY16 Cost Alloc'!C$319</f>
        <v xml:space="preserve">   JCP&amp;L billing on/off % from 2017 forecasted billing determinants</v>
      </c>
      <c r="E321" s="98"/>
      <c r="F321" s="101"/>
      <c r="I321"/>
      <c r="J321"/>
      <c r="K321"/>
      <c r="L321"/>
    </row>
    <row r="322" spans="1:12" x14ac:dyDescent="0.25">
      <c r="A322" s="22"/>
      <c r="B322" s="89" t="s">
        <v>116</v>
      </c>
      <c r="C322" s="12" t="str">
        <f>'BGS PTY16 Cost Alloc'!C$320</f>
        <v xml:space="preserve"> class totals for 2017 excluding accounts required to take service under BGS-CIEP as of June 1, 2018</v>
      </c>
      <c r="E322" s="98"/>
      <c r="F322" s="101"/>
      <c r="I322"/>
      <c r="J322"/>
      <c r="K322"/>
      <c r="L322"/>
    </row>
    <row r="323" spans="1:12" x14ac:dyDescent="0.25">
      <c r="A323" s="22"/>
      <c r="B323" s="89" t="s">
        <v>117</v>
      </c>
      <c r="C323" s="13" t="s">
        <v>166</v>
      </c>
      <c r="E323" s="98"/>
      <c r="F323" s="101"/>
      <c r="I323"/>
      <c r="J323"/>
      <c r="K323"/>
      <c r="L323"/>
    </row>
    <row r="324" spans="1:12" x14ac:dyDescent="0.25">
      <c r="A324" s="22"/>
      <c r="B324" s="89" t="s">
        <v>118</v>
      </c>
      <c r="C324" s="13" t="s">
        <v>214</v>
      </c>
      <c r="E324" s="100"/>
      <c r="F324" s="101"/>
      <c r="I324"/>
      <c r="J324"/>
      <c r="K324"/>
      <c r="L324"/>
    </row>
    <row r="325" spans="1:12" x14ac:dyDescent="0.25">
      <c r="C325" s="13" t="s">
        <v>119</v>
      </c>
      <c r="E325" s="98"/>
      <c r="F325" s="101"/>
      <c r="I325"/>
      <c r="J325"/>
      <c r="K325"/>
      <c r="L325"/>
    </row>
    <row r="326" spans="1:12" x14ac:dyDescent="0.25">
      <c r="B326" s="89" t="s">
        <v>120</v>
      </c>
      <c r="C326" s="103" t="s">
        <v>189</v>
      </c>
      <c r="E326" s="98"/>
      <c r="F326" s="101"/>
      <c r="I326"/>
      <c r="J326"/>
      <c r="K326"/>
      <c r="L326"/>
    </row>
    <row r="327" spans="1:12" x14ac:dyDescent="0.25">
      <c r="A327" s="22"/>
      <c r="C327" s="103" t="s">
        <v>121</v>
      </c>
      <c r="E327" s="99"/>
      <c r="I327"/>
      <c r="J327"/>
      <c r="K327"/>
      <c r="L327"/>
    </row>
    <row r="328" spans="1:12" x14ac:dyDescent="0.25">
      <c r="C328" s="103" t="s">
        <v>188</v>
      </c>
      <c r="I328"/>
      <c r="J328"/>
      <c r="K328"/>
      <c r="L328"/>
    </row>
    <row r="329" spans="1:12" x14ac:dyDescent="0.25">
      <c r="A329" s="7"/>
      <c r="B329" s="495" t="s">
        <v>456</v>
      </c>
      <c r="C329" s="496" t="s">
        <v>457</v>
      </c>
      <c r="D329"/>
      <c r="E329" s="138"/>
      <c r="F329" s="4"/>
      <c r="G329"/>
      <c r="H329"/>
      <c r="I329"/>
      <c r="J329"/>
      <c r="K329"/>
      <c r="L329"/>
    </row>
    <row r="330" spans="1:12" x14ac:dyDescent="0.25">
      <c r="A330" s="7"/>
      <c r="B330" t="str">
        <f>'BGS PTY16 Cost Alloc'!B329</f>
        <v xml:space="preserve"> </v>
      </c>
      <c r="C330" s="9"/>
      <c r="D330"/>
      <c r="E330" s="138"/>
      <c r="F330" s="138"/>
      <c r="G330"/>
      <c r="H330"/>
      <c r="I330"/>
      <c r="J330"/>
      <c r="K330"/>
      <c r="L330"/>
    </row>
    <row r="335" spans="1:12" x14ac:dyDescent="0.25">
      <c r="L335" s="145"/>
    </row>
    <row r="344" spans="12:12" x14ac:dyDescent="0.25">
      <c r="L344" s="145"/>
    </row>
    <row r="345" spans="12:12" x14ac:dyDescent="0.25">
      <c r="L345" s="145"/>
    </row>
    <row r="346" spans="12:12" x14ac:dyDescent="0.25">
      <c r="L346" s="145"/>
    </row>
    <row r="347" spans="12:12" x14ac:dyDescent="0.25">
      <c r="L347" s="140"/>
    </row>
    <row r="348" spans="12:12" x14ac:dyDescent="0.25">
      <c r="L348" s="140"/>
    </row>
    <row r="349" spans="12:12" x14ac:dyDescent="0.25">
      <c r="L349" s="140"/>
    </row>
  </sheetData>
  <sheetProtection algorithmName="SHA-512" hashValue="/sTOj/3CvX8e6+FxcPPO5a3VJzZLWZjHQgAjuIYZymKXIkbsSc+/wYfQ1rr1Aroz1RgdrTS9QHvnVyYwPhtyaQ==" saltValue="56p0xOYboTM03HY4Yl3BOw==" spinCount="100000" sheet="1" objects="1" scenarios="1"/>
  <mergeCells count="16">
    <mergeCell ref="B103:L103"/>
    <mergeCell ref="B104:L104"/>
    <mergeCell ref="B143:L143"/>
    <mergeCell ref="B1:L1"/>
    <mergeCell ref="B2:L2"/>
    <mergeCell ref="B52:L52"/>
    <mergeCell ref="B53:L53"/>
    <mergeCell ref="B5:L5"/>
    <mergeCell ref="B3:L3"/>
    <mergeCell ref="B144:L144"/>
    <mergeCell ref="B285:L285"/>
    <mergeCell ref="B286:L286"/>
    <mergeCell ref="B238:L238"/>
    <mergeCell ref="B239:L239"/>
    <mergeCell ref="B208:L208"/>
    <mergeCell ref="B209:L209"/>
  </mergeCells>
  <phoneticPr fontId="33" type="noConversion"/>
  <pageMargins left="0.97" right="0.79" top="0.69" bottom="0.69" header="0.33" footer="0.5"/>
  <pageSetup scale="60" orientation="landscape" r:id="rId1"/>
  <headerFooter alignWithMargins="0">
    <oddFooter>&amp;L&amp;F    &amp;A&amp;CPage &amp;P of &amp;N&amp;R&amp;D</oddFooter>
  </headerFooter>
  <rowBreaks count="6" manualBreakCount="6">
    <brk id="51" max="11" man="1"/>
    <brk id="102" max="11" man="1"/>
    <brk id="142" max="11" man="1"/>
    <brk id="207" max="11" man="1"/>
    <brk id="237" max="11" man="1"/>
    <brk id="284" max="11"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Y329"/>
  <sheetViews>
    <sheetView zoomScale="70" zoomScaleNormal="70" workbookViewId="0"/>
  </sheetViews>
  <sheetFormatPr defaultColWidth="9.109375" defaultRowHeight="13.2" x14ac:dyDescent="0.25"/>
  <cols>
    <col min="1" max="1" width="16.109375" style="12" customWidth="1"/>
    <col min="2" max="2" width="27.88671875" style="13" customWidth="1"/>
    <col min="3" max="3" width="14.5546875" style="13" customWidth="1"/>
    <col min="4" max="4" width="12.5546875" style="13" customWidth="1"/>
    <col min="5" max="5" width="14.44140625" style="13" customWidth="1"/>
    <col min="6" max="7" width="16.109375" style="13" customWidth="1"/>
    <col min="8" max="8" width="15.109375" style="13" customWidth="1"/>
    <col min="9" max="9" width="14.5546875" style="13" customWidth="1"/>
    <col min="10" max="10" width="15.44140625" style="13" customWidth="1"/>
    <col min="11" max="11" width="4.88671875" style="13" customWidth="1"/>
    <col min="12" max="12" width="6.5546875" style="13" customWidth="1"/>
    <col min="13" max="13" width="15.88671875" style="13" customWidth="1"/>
    <col min="14" max="14" width="18" style="13" customWidth="1"/>
    <col min="15" max="16" width="12.44140625" style="13" customWidth="1"/>
    <col min="17" max="17" width="15.5546875" style="13" customWidth="1"/>
    <col min="18" max="18" width="14.44140625" style="13" customWidth="1"/>
    <col min="19" max="19" width="14.88671875" style="13" customWidth="1"/>
    <col min="20" max="20" width="15.109375" style="13" customWidth="1"/>
    <col min="21" max="21" width="14.109375" style="13" customWidth="1"/>
    <col min="22" max="22" width="12.44140625" style="13" customWidth="1"/>
    <col min="23" max="23" width="13.44140625" style="13" customWidth="1"/>
    <col min="24" max="24" width="15.44140625" style="13" customWidth="1"/>
    <col min="25" max="25" width="12.88671875" style="13" customWidth="1"/>
    <col min="26" max="26" width="11.5546875" style="13" customWidth="1"/>
    <col min="27" max="27" width="12.5546875" style="13" customWidth="1"/>
    <col min="28" max="28" width="16.88671875" style="13" customWidth="1"/>
    <col min="29" max="29" width="15.6640625" style="13" customWidth="1"/>
    <col min="30" max="30" width="14.109375" style="13" customWidth="1"/>
    <col min="31" max="31" width="16.44140625" style="13" customWidth="1"/>
    <col min="32" max="32" width="9.109375" style="13" customWidth="1"/>
    <col min="33" max="33" width="12" style="13" customWidth="1"/>
    <col min="34" max="34" width="13.44140625" style="13" customWidth="1"/>
    <col min="35" max="35" width="9.109375" style="13" customWidth="1"/>
    <col min="36" max="36" width="11" style="13" customWidth="1"/>
    <col min="37" max="37" width="14.5546875" style="13" customWidth="1"/>
    <col min="38" max="38" width="12.44140625" style="13" customWidth="1"/>
    <col min="39" max="46" width="9.109375" style="13" customWidth="1"/>
    <col min="47" max="48" width="10.88671875" style="13" customWidth="1"/>
    <col min="49" max="49" width="12.44140625" style="13" customWidth="1"/>
    <col min="50" max="50" width="10.88671875" style="13" customWidth="1"/>
    <col min="51" max="51" width="11.44140625" style="13" customWidth="1"/>
    <col min="52" max="16384" width="9.109375" style="13"/>
  </cols>
  <sheetData>
    <row r="1" spans="1:26" ht="15.6" x14ac:dyDescent="0.3">
      <c r="B1" s="534" t="s">
        <v>69</v>
      </c>
      <c r="C1" s="534"/>
      <c r="D1" s="534"/>
      <c r="E1" s="534"/>
      <c r="F1" s="534"/>
      <c r="G1" s="534"/>
      <c r="H1" s="534"/>
      <c r="I1" s="534"/>
      <c r="J1" s="534"/>
      <c r="K1" s="534"/>
      <c r="L1" s="534"/>
    </row>
    <row r="2" spans="1:26" ht="15.6" x14ac:dyDescent="0.3">
      <c r="B2" s="534" t="s">
        <v>187</v>
      </c>
      <c r="C2" s="534"/>
      <c r="D2" s="534"/>
      <c r="E2" s="534"/>
      <c r="F2" s="534"/>
      <c r="G2" s="534"/>
      <c r="H2" s="534"/>
      <c r="I2" s="534"/>
      <c r="J2" s="534"/>
      <c r="K2" s="534"/>
      <c r="L2" s="534"/>
    </row>
    <row r="3" spans="1:26" ht="15.6" x14ac:dyDescent="0.3">
      <c r="B3" s="535" t="s">
        <v>463</v>
      </c>
      <c r="C3" s="535"/>
      <c r="D3" s="535"/>
      <c r="E3" s="535"/>
      <c r="F3" s="535"/>
      <c r="G3" s="535"/>
      <c r="H3" s="535"/>
      <c r="I3" s="535"/>
      <c r="J3" s="535"/>
      <c r="K3" s="535"/>
      <c r="L3" s="535"/>
    </row>
    <row r="4" spans="1:26" ht="15.6" x14ac:dyDescent="0.3">
      <c r="B4" s="167"/>
      <c r="C4" s="167"/>
      <c r="D4" s="167"/>
      <c r="E4" s="167"/>
      <c r="F4" s="167"/>
      <c r="G4" s="167"/>
      <c r="H4" s="167"/>
      <c r="I4" s="167"/>
      <c r="J4" s="167"/>
      <c r="K4" s="167"/>
      <c r="L4" s="167"/>
    </row>
    <row r="5" spans="1:26" ht="15.6" x14ac:dyDescent="0.3">
      <c r="B5" s="535" t="s">
        <v>464</v>
      </c>
      <c r="C5" s="535"/>
      <c r="D5" s="535"/>
      <c r="E5" s="535"/>
      <c r="F5" s="535"/>
      <c r="G5" s="535"/>
      <c r="H5" s="535"/>
      <c r="I5" s="535"/>
      <c r="J5" s="535"/>
      <c r="K5" s="535"/>
      <c r="L5" s="535"/>
    </row>
    <row r="8" spans="1:26" ht="15.6" x14ac:dyDescent="0.3">
      <c r="B8" s="14" t="s">
        <v>50</v>
      </c>
    </row>
    <row r="9" spans="1:26" x14ac:dyDescent="0.25">
      <c r="A9" s="15"/>
      <c r="B9" s="16" t="s">
        <v>45</v>
      </c>
    </row>
    <row r="10" spans="1:26" x14ac:dyDescent="0.25">
      <c r="E10" s="17" t="s">
        <v>467</v>
      </c>
      <c r="F10" s="90"/>
      <c r="G10" s="90"/>
      <c r="H10" s="90"/>
    </row>
    <row r="11" spans="1:26" x14ac:dyDescent="0.25">
      <c r="A11" s="18" t="s">
        <v>30</v>
      </c>
      <c r="B11" s="19" t="s">
        <v>47</v>
      </c>
      <c r="C11" s="20"/>
      <c r="E11" s="17" t="s">
        <v>27</v>
      </c>
      <c r="N11" s="19"/>
      <c r="P11" s="21"/>
      <c r="Q11" s="19" t="s">
        <v>212</v>
      </c>
      <c r="R11" s="21"/>
      <c r="S11" s="21"/>
      <c r="T11" s="21"/>
      <c r="U11" s="21"/>
      <c r="V11" s="21"/>
      <c r="W11" s="21"/>
      <c r="X11" s="21"/>
      <c r="Y11" s="21"/>
      <c r="Z11" s="21"/>
    </row>
    <row r="12" spans="1:26" ht="26.4" x14ac:dyDescent="0.25">
      <c r="A12" s="22"/>
      <c r="C12" s="23"/>
      <c r="D12" s="23"/>
      <c r="E12" s="23" t="s">
        <v>24</v>
      </c>
      <c r="F12" s="23" t="s">
        <v>24</v>
      </c>
      <c r="G12" s="23" t="s">
        <v>24</v>
      </c>
      <c r="H12" s="23" t="s">
        <v>24</v>
      </c>
      <c r="I12" s="23" t="s">
        <v>56</v>
      </c>
      <c r="L12" s="23"/>
      <c r="M12" s="23"/>
      <c r="N12" s="17"/>
      <c r="O12" s="23"/>
      <c r="P12" s="23"/>
      <c r="Q12" s="23" t="s">
        <v>24</v>
      </c>
      <c r="R12" s="23" t="s">
        <v>24</v>
      </c>
      <c r="S12" s="23" t="s">
        <v>24</v>
      </c>
      <c r="T12" s="23" t="s">
        <v>24</v>
      </c>
      <c r="U12" s="23" t="s">
        <v>56</v>
      </c>
      <c r="W12" s="23"/>
      <c r="X12" s="23"/>
      <c r="Y12" s="23"/>
      <c r="Z12" s="23"/>
    </row>
    <row r="13" spans="1:26" x14ac:dyDescent="0.25">
      <c r="A13" s="22"/>
      <c r="B13" s="24" t="s">
        <v>190</v>
      </c>
      <c r="C13" s="25"/>
      <c r="D13" s="25"/>
      <c r="E13" s="26" t="s">
        <v>61</v>
      </c>
      <c r="F13" s="26" t="s">
        <v>62</v>
      </c>
      <c r="G13" s="26" t="s">
        <v>65</v>
      </c>
      <c r="H13" s="26" t="s">
        <v>54</v>
      </c>
      <c r="I13" s="26" t="s">
        <v>55</v>
      </c>
      <c r="J13" s="25"/>
      <c r="K13" s="25"/>
      <c r="L13" s="25"/>
      <c r="M13" s="25"/>
      <c r="N13" s="27"/>
      <c r="O13" s="26"/>
      <c r="P13" s="26"/>
      <c r="Q13" s="26" t="str">
        <f>+E13</f>
        <v>RT{1}</v>
      </c>
      <c r="R13" s="26" t="str">
        <f>+F13</f>
        <v>RS{2}</v>
      </c>
      <c r="S13" s="26" t="str">
        <f>+G13</f>
        <v>GS{3}</v>
      </c>
      <c r="T13" s="26" t="str">
        <f>+H13</f>
        <v>GST</v>
      </c>
      <c r="U13" s="26" t="str">
        <f>+I13</f>
        <v>OL/SL</v>
      </c>
      <c r="V13" s="26"/>
      <c r="W13" s="26"/>
      <c r="X13" s="26"/>
      <c r="Y13" s="26"/>
      <c r="Z13" s="26"/>
    </row>
    <row r="14" spans="1:26" x14ac:dyDescent="0.25">
      <c r="A14" s="22"/>
      <c r="O14" s="21"/>
      <c r="P14" s="21"/>
      <c r="Q14" s="21"/>
      <c r="R14" s="21"/>
      <c r="S14" s="21"/>
      <c r="T14" s="21"/>
      <c r="U14" s="21"/>
      <c r="V14" s="21"/>
      <c r="W14" s="21"/>
      <c r="X14" s="21"/>
      <c r="Y14" s="21"/>
      <c r="Z14" s="21"/>
    </row>
    <row r="15" spans="1:26" x14ac:dyDescent="0.25">
      <c r="A15" s="22"/>
      <c r="B15" s="28" t="s">
        <v>1</v>
      </c>
      <c r="C15" s="29"/>
      <c r="D15" s="29"/>
      <c r="E15" s="399">
        <v>0.47970000000000002</v>
      </c>
      <c r="F15" s="399">
        <v>0.50180000000000002</v>
      </c>
      <c r="G15" s="399">
        <v>0.56210000000000004</v>
      </c>
      <c r="H15" s="399">
        <v>0.5423</v>
      </c>
      <c r="I15" s="399">
        <v>0.32979999999999998</v>
      </c>
      <c r="J15" s="29"/>
      <c r="K15" s="29"/>
      <c r="L15" s="30"/>
      <c r="M15" s="30"/>
      <c r="N15" s="31"/>
      <c r="O15" s="32"/>
      <c r="P15" s="32"/>
      <c r="Q15" s="32">
        <f t="shared" ref="Q15:Q26" si="0">1-E15</f>
        <v>0.52029999999999998</v>
      </c>
      <c r="R15" s="32">
        <f t="shared" ref="R15:R26" si="1">1-F15</f>
        <v>0.49819999999999998</v>
      </c>
      <c r="S15" s="32">
        <f t="shared" ref="S15:S26" si="2">1-G15</f>
        <v>0.43789999999999996</v>
      </c>
      <c r="T15" s="32">
        <f t="shared" ref="T15:T26" si="3">1-H15</f>
        <v>0.4577</v>
      </c>
      <c r="U15" s="32">
        <f t="shared" ref="U15:U26" si="4">1-I15</f>
        <v>0.67020000000000002</v>
      </c>
      <c r="V15" s="32"/>
      <c r="W15" s="32"/>
      <c r="X15" s="32"/>
      <c r="Y15" s="32"/>
      <c r="Z15" s="32"/>
    </row>
    <row r="16" spans="1:26" x14ac:dyDescent="0.25">
      <c r="A16" s="22"/>
      <c r="B16" s="28" t="s">
        <v>2</v>
      </c>
      <c r="C16" s="29"/>
      <c r="D16" s="29"/>
      <c r="E16" s="399">
        <v>0.48659999999999998</v>
      </c>
      <c r="F16" s="399">
        <v>0.51459999999999995</v>
      </c>
      <c r="G16" s="399">
        <v>0.57640000000000002</v>
      </c>
      <c r="H16" s="399">
        <v>0.55569999999999997</v>
      </c>
      <c r="I16" s="399">
        <v>0.31480000000000002</v>
      </c>
      <c r="J16" s="29"/>
      <c r="K16" s="29"/>
      <c r="L16" s="30"/>
      <c r="M16" s="30"/>
      <c r="N16" s="31"/>
      <c r="O16" s="32"/>
      <c r="P16" s="32"/>
      <c r="Q16" s="32">
        <f t="shared" si="0"/>
        <v>0.51340000000000008</v>
      </c>
      <c r="R16" s="32">
        <f t="shared" si="1"/>
        <v>0.48540000000000005</v>
      </c>
      <c r="S16" s="32">
        <f t="shared" si="2"/>
        <v>0.42359999999999998</v>
      </c>
      <c r="T16" s="32">
        <f t="shared" si="3"/>
        <v>0.44430000000000003</v>
      </c>
      <c r="U16" s="32">
        <f t="shared" si="4"/>
        <v>0.68520000000000003</v>
      </c>
      <c r="V16" s="32"/>
      <c r="W16" s="32"/>
      <c r="X16" s="32"/>
      <c r="Y16" s="32"/>
      <c r="Z16" s="32"/>
    </row>
    <row r="17" spans="1:26" x14ac:dyDescent="0.25">
      <c r="A17" s="22"/>
      <c r="B17" s="28" t="s">
        <v>3</v>
      </c>
      <c r="C17" s="29"/>
      <c r="D17" s="29"/>
      <c r="E17" s="399">
        <v>0.48380000000000001</v>
      </c>
      <c r="F17" s="399">
        <v>0.50480000000000003</v>
      </c>
      <c r="G17" s="399">
        <v>0.59109999999999996</v>
      </c>
      <c r="H17" s="399">
        <v>0.56059999999999999</v>
      </c>
      <c r="I17" s="399">
        <v>0.27829999999999999</v>
      </c>
      <c r="J17" s="29"/>
      <c r="K17" s="29"/>
      <c r="L17" s="30"/>
      <c r="M17" s="30"/>
      <c r="N17" s="31"/>
      <c r="O17" s="32"/>
      <c r="P17" s="32"/>
      <c r="Q17" s="32">
        <f t="shared" si="0"/>
        <v>0.51619999999999999</v>
      </c>
      <c r="R17" s="32">
        <f t="shared" si="1"/>
        <v>0.49519999999999997</v>
      </c>
      <c r="S17" s="32">
        <f t="shared" si="2"/>
        <v>0.40890000000000004</v>
      </c>
      <c r="T17" s="32">
        <f t="shared" si="3"/>
        <v>0.43940000000000001</v>
      </c>
      <c r="U17" s="32">
        <f t="shared" si="4"/>
        <v>0.72170000000000001</v>
      </c>
      <c r="V17" s="32"/>
      <c r="W17" s="32"/>
      <c r="X17" s="32"/>
      <c r="Y17" s="32"/>
      <c r="Z17" s="32"/>
    </row>
    <row r="18" spans="1:26" x14ac:dyDescent="0.25">
      <c r="A18" s="22"/>
      <c r="B18" s="28" t="s">
        <v>4</v>
      </c>
      <c r="C18" s="29"/>
      <c r="D18" s="29"/>
      <c r="E18" s="399">
        <v>0.49430000000000002</v>
      </c>
      <c r="F18" s="399">
        <v>0.5111</v>
      </c>
      <c r="G18" s="399">
        <v>0.60409999999999997</v>
      </c>
      <c r="H18" s="399">
        <v>0.58309999999999995</v>
      </c>
      <c r="I18" s="399">
        <v>0.25600000000000001</v>
      </c>
      <c r="J18" s="29"/>
      <c r="K18" s="29"/>
      <c r="L18" s="30"/>
      <c r="M18" s="30"/>
      <c r="N18" s="31"/>
      <c r="O18" s="32"/>
      <c r="P18" s="32"/>
      <c r="Q18" s="32">
        <f t="shared" si="0"/>
        <v>0.50570000000000004</v>
      </c>
      <c r="R18" s="32">
        <f t="shared" si="1"/>
        <v>0.4889</v>
      </c>
      <c r="S18" s="32">
        <f t="shared" si="2"/>
        <v>0.39590000000000003</v>
      </c>
      <c r="T18" s="32">
        <f t="shared" si="3"/>
        <v>0.41690000000000005</v>
      </c>
      <c r="U18" s="32">
        <f t="shared" si="4"/>
        <v>0.74399999999999999</v>
      </c>
      <c r="V18" s="32"/>
      <c r="W18" s="32"/>
      <c r="X18" s="32"/>
      <c r="Y18" s="32"/>
      <c r="Z18" s="32"/>
    </row>
    <row r="19" spans="1:26" x14ac:dyDescent="0.25">
      <c r="A19" s="22"/>
      <c r="B19" s="28" t="s">
        <v>5</v>
      </c>
      <c r="C19" s="29"/>
      <c r="D19" s="29"/>
      <c r="E19" s="399">
        <v>0.47299999999999998</v>
      </c>
      <c r="F19" s="399">
        <v>0.47810000000000002</v>
      </c>
      <c r="G19" s="399">
        <v>0.57969999999999999</v>
      </c>
      <c r="H19" s="399">
        <v>0.56679999999999997</v>
      </c>
      <c r="I19" s="399">
        <v>0.23760000000000001</v>
      </c>
      <c r="J19" s="29"/>
      <c r="K19" s="29"/>
      <c r="L19" s="30"/>
      <c r="M19" s="30"/>
      <c r="N19" s="31"/>
      <c r="O19" s="32"/>
      <c r="P19" s="32"/>
      <c r="Q19" s="32">
        <f t="shared" si="0"/>
        <v>0.52700000000000002</v>
      </c>
      <c r="R19" s="32">
        <f t="shared" si="1"/>
        <v>0.52190000000000003</v>
      </c>
      <c r="S19" s="32">
        <f t="shared" si="2"/>
        <v>0.42030000000000001</v>
      </c>
      <c r="T19" s="32">
        <f t="shared" si="3"/>
        <v>0.43320000000000003</v>
      </c>
      <c r="U19" s="32">
        <f t="shared" si="4"/>
        <v>0.76239999999999997</v>
      </c>
      <c r="V19" s="32"/>
      <c r="W19" s="32"/>
      <c r="X19" s="32"/>
      <c r="Y19" s="32"/>
      <c r="Z19" s="32"/>
    </row>
    <row r="20" spans="1:26" x14ac:dyDescent="0.25">
      <c r="A20" s="22"/>
      <c r="B20" s="187" t="s">
        <v>6</v>
      </c>
      <c r="C20" s="211"/>
      <c r="D20" s="211"/>
      <c r="E20" s="400">
        <v>0.53190000000000004</v>
      </c>
      <c r="F20" s="400">
        <v>0.53710000000000002</v>
      </c>
      <c r="G20" s="400">
        <v>0.59850000000000003</v>
      </c>
      <c r="H20" s="400">
        <v>0.59660000000000002</v>
      </c>
      <c r="I20" s="401">
        <v>0.2329</v>
      </c>
      <c r="J20" s="29"/>
      <c r="K20" s="29"/>
      <c r="L20" s="30"/>
      <c r="M20" s="30"/>
      <c r="N20" s="31"/>
      <c r="O20" s="32"/>
      <c r="P20" s="32"/>
      <c r="Q20" s="32">
        <f t="shared" si="0"/>
        <v>0.46809999999999996</v>
      </c>
      <c r="R20" s="32">
        <f t="shared" si="1"/>
        <v>0.46289999999999998</v>
      </c>
      <c r="S20" s="32">
        <f t="shared" si="2"/>
        <v>0.40149999999999997</v>
      </c>
      <c r="T20" s="32">
        <f t="shared" si="3"/>
        <v>0.40339999999999998</v>
      </c>
      <c r="U20" s="32">
        <f t="shared" si="4"/>
        <v>0.7671</v>
      </c>
      <c r="V20" s="32"/>
      <c r="W20" s="32"/>
      <c r="X20" s="32"/>
      <c r="Y20" s="32"/>
      <c r="Z20" s="32"/>
    </row>
    <row r="21" spans="1:26" x14ac:dyDescent="0.25">
      <c r="A21" s="22"/>
      <c r="B21" s="191" t="s">
        <v>7</v>
      </c>
      <c r="C21" s="181"/>
      <c r="D21" s="181"/>
      <c r="E21" s="402">
        <v>0.53</v>
      </c>
      <c r="F21" s="402">
        <v>0.52829999999999999</v>
      </c>
      <c r="G21" s="402">
        <v>0.59179999999999999</v>
      </c>
      <c r="H21" s="402">
        <v>0.58889999999999998</v>
      </c>
      <c r="I21" s="403">
        <v>0.2346</v>
      </c>
      <c r="J21" s="29"/>
      <c r="K21" s="29"/>
      <c r="L21" s="30"/>
      <c r="M21" s="30"/>
      <c r="N21" s="31"/>
      <c r="O21" s="32"/>
      <c r="P21" s="32"/>
      <c r="Q21" s="32">
        <f t="shared" si="0"/>
        <v>0.47</v>
      </c>
      <c r="R21" s="32">
        <f t="shared" si="1"/>
        <v>0.47170000000000001</v>
      </c>
      <c r="S21" s="32">
        <f t="shared" si="2"/>
        <v>0.40820000000000001</v>
      </c>
      <c r="T21" s="32">
        <f t="shared" si="3"/>
        <v>0.41110000000000002</v>
      </c>
      <c r="U21" s="32">
        <f t="shared" si="4"/>
        <v>0.76539999999999997</v>
      </c>
      <c r="V21" s="32"/>
      <c r="W21" s="32"/>
      <c r="X21" s="32"/>
      <c r="Y21" s="32"/>
      <c r="Z21" s="32"/>
    </row>
    <row r="22" spans="1:26" x14ac:dyDescent="0.25">
      <c r="A22" s="22"/>
      <c r="B22" s="191" t="s">
        <v>8</v>
      </c>
      <c r="C22" s="181"/>
      <c r="D22" s="181"/>
      <c r="E22" s="402">
        <v>0.51490000000000002</v>
      </c>
      <c r="F22" s="402">
        <v>0.51339999999999997</v>
      </c>
      <c r="G22" s="402">
        <v>0.58089999999999997</v>
      </c>
      <c r="H22" s="402">
        <v>0.57669999999999999</v>
      </c>
      <c r="I22" s="403">
        <v>0.2382</v>
      </c>
      <c r="J22" s="29"/>
      <c r="K22" s="29"/>
      <c r="L22" s="30"/>
      <c r="M22" s="30"/>
      <c r="N22" s="31"/>
      <c r="O22" s="32"/>
      <c r="P22" s="32"/>
      <c r="Q22" s="32">
        <f t="shared" si="0"/>
        <v>0.48509999999999998</v>
      </c>
      <c r="R22" s="32">
        <f t="shared" si="1"/>
        <v>0.48660000000000003</v>
      </c>
      <c r="S22" s="32">
        <f t="shared" si="2"/>
        <v>0.41910000000000003</v>
      </c>
      <c r="T22" s="32">
        <f t="shared" si="3"/>
        <v>0.42330000000000001</v>
      </c>
      <c r="U22" s="32">
        <f t="shared" si="4"/>
        <v>0.76180000000000003</v>
      </c>
      <c r="V22" s="32"/>
      <c r="W22" s="32"/>
      <c r="X22" s="32"/>
      <c r="Y22" s="32"/>
      <c r="Z22" s="32"/>
    </row>
    <row r="23" spans="1:26" x14ac:dyDescent="0.25">
      <c r="A23" s="22"/>
      <c r="B23" s="194" t="s">
        <v>9</v>
      </c>
      <c r="C23" s="212"/>
      <c r="D23" s="212"/>
      <c r="E23" s="404">
        <v>0.50439999999999996</v>
      </c>
      <c r="F23" s="404">
        <v>0.50629999999999997</v>
      </c>
      <c r="G23" s="404">
        <v>0.60260000000000002</v>
      </c>
      <c r="H23" s="404">
        <v>0.59319999999999995</v>
      </c>
      <c r="I23" s="405">
        <v>0.27110000000000001</v>
      </c>
      <c r="J23" s="29"/>
      <c r="K23" s="29"/>
      <c r="L23" s="30"/>
      <c r="M23" s="30"/>
      <c r="N23" s="31"/>
      <c r="O23" s="32"/>
      <c r="P23" s="32"/>
      <c r="Q23" s="32">
        <f t="shared" si="0"/>
        <v>0.49560000000000004</v>
      </c>
      <c r="R23" s="32">
        <f t="shared" si="1"/>
        <v>0.49370000000000003</v>
      </c>
      <c r="S23" s="32">
        <f t="shared" si="2"/>
        <v>0.39739999999999998</v>
      </c>
      <c r="T23" s="32">
        <f t="shared" si="3"/>
        <v>0.40680000000000005</v>
      </c>
      <c r="U23" s="32">
        <f t="shared" si="4"/>
        <v>0.72889999999999999</v>
      </c>
      <c r="V23" s="32"/>
      <c r="W23" s="32"/>
      <c r="X23" s="32"/>
      <c r="Y23" s="32"/>
      <c r="Z23" s="32"/>
    </row>
    <row r="24" spans="1:26" x14ac:dyDescent="0.25">
      <c r="A24" s="22"/>
      <c r="B24" s="28" t="s">
        <v>10</v>
      </c>
      <c r="C24" s="29"/>
      <c r="D24" s="29"/>
      <c r="E24" s="399">
        <v>0.48399999999999999</v>
      </c>
      <c r="F24" s="399">
        <v>0.50390000000000001</v>
      </c>
      <c r="G24" s="399">
        <v>0.59319999999999995</v>
      </c>
      <c r="H24" s="399">
        <v>0.5837</v>
      </c>
      <c r="I24" s="399">
        <v>0.28939999999999999</v>
      </c>
      <c r="J24" s="29"/>
      <c r="K24" s="29"/>
      <c r="L24" s="30"/>
      <c r="M24" s="30"/>
      <c r="N24" s="31"/>
      <c r="O24" s="32"/>
      <c r="P24" s="32"/>
      <c r="Q24" s="32">
        <f t="shared" si="0"/>
        <v>0.51600000000000001</v>
      </c>
      <c r="R24" s="32">
        <f t="shared" si="1"/>
        <v>0.49609999999999999</v>
      </c>
      <c r="S24" s="32">
        <f t="shared" si="2"/>
        <v>0.40680000000000005</v>
      </c>
      <c r="T24" s="32">
        <f t="shared" si="3"/>
        <v>0.4163</v>
      </c>
      <c r="U24" s="32">
        <f t="shared" si="4"/>
        <v>0.71060000000000001</v>
      </c>
      <c r="V24" s="32"/>
      <c r="W24" s="32"/>
      <c r="X24" s="32"/>
      <c r="Y24" s="32"/>
      <c r="Z24" s="32"/>
    </row>
    <row r="25" spans="1:26" x14ac:dyDescent="0.25">
      <c r="A25" s="22"/>
      <c r="B25" s="28" t="s">
        <v>11</v>
      </c>
      <c r="C25" s="29"/>
      <c r="D25" s="29"/>
      <c r="E25" s="399">
        <v>0.4516</v>
      </c>
      <c r="F25" s="399">
        <v>0.4839</v>
      </c>
      <c r="G25" s="399">
        <v>0.57120000000000004</v>
      </c>
      <c r="H25" s="399">
        <v>0.54800000000000004</v>
      </c>
      <c r="I25" s="399">
        <v>0.32469999999999999</v>
      </c>
      <c r="J25" s="29"/>
      <c r="K25" s="29"/>
      <c r="L25" s="30"/>
      <c r="M25" s="30"/>
      <c r="N25" s="31"/>
      <c r="O25" s="32"/>
      <c r="P25" s="32"/>
      <c r="Q25" s="32">
        <f t="shared" si="0"/>
        <v>0.5484</v>
      </c>
      <c r="R25" s="32">
        <f t="shared" si="1"/>
        <v>0.5161</v>
      </c>
      <c r="S25" s="32">
        <f t="shared" si="2"/>
        <v>0.42879999999999996</v>
      </c>
      <c r="T25" s="32">
        <f t="shared" si="3"/>
        <v>0.45199999999999996</v>
      </c>
      <c r="U25" s="32">
        <f t="shared" si="4"/>
        <v>0.67530000000000001</v>
      </c>
      <c r="V25" s="32"/>
      <c r="W25" s="32"/>
      <c r="X25" s="32"/>
      <c r="Y25" s="32"/>
      <c r="Z25" s="32"/>
    </row>
    <row r="26" spans="1:26" x14ac:dyDescent="0.25">
      <c r="A26" s="22"/>
      <c r="B26" s="28" t="s">
        <v>12</v>
      </c>
      <c r="C26" s="29"/>
      <c r="D26" s="29"/>
      <c r="E26" s="399">
        <v>0.4889</v>
      </c>
      <c r="F26" s="399">
        <v>0.51090000000000002</v>
      </c>
      <c r="G26" s="399">
        <v>0.57969999999999999</v>
      </c>
      <c r="H26" s="399">
        <v>0.55740000000000001</v>
      </c>
      <c r="I26" s="399">
        <v>0.3458</v>
      </c>
      <c r="J26" s="29"/>
      <c r="K26" s="29"/>
      <c r="L26" s="30"/>
      <c r="M26" s="30"/>
      <c r="N26" s="31"/>
      <c r="O26" s="32"/>
      <c r="P26" s="32"/>
      <c r="Q26" s="32">
        <f t="shared" si="0"/>
        <v>0.5111</v>
      </c>
      <c r="R26" s="32">
        <f t="shared" si="1"/>
        <v>0.48909999999999998</v>
      </c>
      <c r="S26" s="32">
        <f t="shared" si="2"/>
        <v>0.42030000000000001</v>
      </c>
      <c r="T26" s="32">
        <f t="shared" si="3"/>
        <v>0.44259999999999999</v>
      </c>
      <c r="U26" s="32">
        <f t="shared" si="4"/>
        <v>0.6542</v>
      </c>
      <c r="V26" s="32"/>
      <c r="W26" s="32"/>
      <c r="X26" s="32"/>
      <c r="Y26" s="32"/>
      <c r="Z26" s="32"/>
    </row>
    <row r="27" spans="1:26" x14ac:dyDescent="0.25">
      <c r="A27" s="22"/>
      <c r="B27" s="28"/>
      <c r="C27" s="31"/>
      <c r="D27" s="31"/>
      <c r="E27" s="31"/>
      <c r="F27" s="31"/>
      <c r="G27" s="31"/>
      <c r="H27" s="31"/>
      <c r="I27" s="33"/>
      <c r="J27" s="33"/>
      <c r="K27" s="33"/>
      <c r="L27" s="31"/>
      <c r="M27" s="31"/>
      <c r="N27" s="31"/>
      <c r="O27" s="32"/>
      <c r="P27" s="32"/>
      <c r="Q27" s="32"/>
      <c r="R27" s="32"/>
      <c r="S27" s="32"/>
      <c r="T27" s="32"/>
      <c r="U27" s="32"/>
      <c r="V27" s="32"/>
      <c r="W27" s="32"/>
      <c r="X27" s="32"/>
      <c r="Y27" s="32"/>
      <c r="Z27" s="32"/>
    </row>
    <row r="28" spans="1:26" x14ac:dyDescent="0.25">
      <c r="A28" s="22"/>
      <c r="B28" s="28"/>
      <c r="C28" s="31"/>
      <c r="D28" s="31"/>
      <c r="E28" s="31"/>
      <c r="F28" s="31"/>
      <c r="G28" s="31"/>
      <c r="H28" s="31"/>
      <c r="I28" s="33"/>
      <c r="J28" s="33"/>
      <c r="K28" s="33"/>
      <c r="L28" s="31"/>
      <c r="M28" s="31"/>
      <c r="N28" s="31"/>
      <c r="O28" s="32"/>
      <c r="P28" s="32"/>
      <c r="Q28" s="32"/>
      <c r="R28" s="32"/>
      <c r="S28" s="32"/>
      <c r="T28" s="32"/>
      <c r="U28" s="32"/>
      <c r="V28" s="32"/>
      <c r="W28" s="32"/>
      <c r="X28" s="32"/>
      <c r="Y28" s="32"/>
      <c r="Z28" s="32"/>
    </row>
    <row r="29" spans="1:26" x14ac:dyDescent="0.25">
      <c r="A29" s="18" t="s">
        <v>31</v>
      </c>
      <c r="B29" s="19" t="s">
        <v>57</v>
      </c>
      <c r="C29" s="31"/>
      <c r="D29" s="31"/>
      <c r="E29" s="31"/>
      <c r="F29" s="34" t="s">
        <v>46</v>
      </c>
      <c r="G29" s="31"/>
      <c r="H29" s="31"/>
      <c r="I29" s="33"/>
      <c r="J29" s="33"/>
      <c r="K29" s="33"/>
      <c r="L29" s="31"/>
      <c r="M29" s="31"/>
      <c r="N29" s="31"/>
      <c r="O29" s="32"/>
      <c r="P29" s="32"/>
      <c r="Q29" s="32"/>
      <c r="R29" s="32"/>
      <c r="S29" s="32"/>
      <c r="T29" s="32"/>
      <c r="U29" s="32"/>
      <c r="V29" s="32"/>
      <c r="W29" s="32"/>
      <c r="X29" s="32"/>
      <c r="Y29" s="32"/>
      <c r="Z29" s="32"/>
    </row>
    <row r="30" spans="1:26" ht="53.25" customHeight="1" x14ac:dyDescent="0.25">
      <c r="A30" s="22"/>
      <c r="C30" s="23"/>
      <c r="D30" s="23"/>
      <c r="E30" s="182" t="s">
        <v>465</v>
      </c>
      <c r="F30" s="23" t="s">
        <v>39</v>
      </c>
      <c r="G30" s="23" t="s">
        <v>39</v>
      </c>
      <c r="H30" s="182" t="s">
        <v>465</v>
      </c>
      <c r="I30" s="23" t="s">
        <v>39</v>
      </c>
      <c r="J30" s="23"/>
      <c r="K30" s="23"/>
      <c r="L30" s="23"/>
      <c r="M30" s="536"/>
      <c r="N30" s="536"/>
      <c r="O30" s="23"/>
      <c r="P30" s="23"/>
      <c r="Q30" s="182" t="str">
        <f>E30</f>
        <v>2017 Forecasted Calendar Month Sales</v>
      </c>
      <c r="R30" s="23" t="s">
        <v>39</v>
      </c>
      <c r="S30" s="23" t="s">
        <v>39</v>
      </c>
      <c r="T30" s="182" t="str">
        <f>H30</f>
        <v>2017 Forecasted Calendar Month Sales</v>
      </c>
      <c r="U30" s="23" t="s">
        <v>39</v>
      </c>
      <c r="V30" s="23"/>
      <c r="W30" s="23"/>
      <c r="X30" s="23"/>
      <c r="Y30" s="23"/>
      <c r="Z30" s="23"/>
    </row>
    <row r="31" spans="1:26" x14ac:dyDescent="0.25">
      <c r="A31" s="22"/>
      <c r="B31" s="24" t="s">
        <v>190</v>
      </c>
      <c r="C31" s="26"/>
      <c r="D31" s="26"/>
      <c r="E31" s="26" t="str">
        <f>+E$13</f>
        <v>RT{1}</v>
      </c>
      <c r="F31" s="26" t="str">
        <f>+F$13</f>
        <v>RS{2}</v>
      </c>
      <c r="G31" s="26" t="str">
        <f>+G$13</f>
        <v>GS{3}</v>
      </c>
      <c r="H31" s="26" t="str">
        <f>+H$13</f>
        <v>GST</v>
      </c>
      <c r="I31" s="26" t="str">
        <f>+I$13</f>
        <v>OL/SL</v>
      </c>
      <c r="J31" s="26"/>
      <c r="K31" s="26"/>
      <c r="L31" s="26"/>
      <c r="M31" s="26"/>
      <c r="N31" s="27"/>
      <c r="O31" s="26"/>
      <c r="P31" s="26"/>
      <c r="Q31" s="26" t="str">
        <f>+Q$13</f>
        <v>RT{1}</v>
      </c>
      <c r="R31" s="26" t="str">
        <f>+R$13</f>
        <v>RS{2}</v>
      </c>
      <c r="S31" s="26" t="str">
        <f>+S$13</f>
        <v>GS{3}</v>
      </c>
      <c r="T31" s="26" t="str">
        <f>+T$13</f>
        <v>GST</v>
      </c>
      <c r="U31" s="26" t="str">
        <f>+U$13</f>
        <v>OL/SL</v>
      </c>
      <c r="V31" s="26"/>
      <c r="W31" s="26"/>
      <c r="X31" s="26"/>
      <c r="Y31" s="26"/>
      <c r="Z31" s="26"/>
    </row>
    <row r="32" spans="1:26" x14ac:dyDescent="0.25">
      <c r="A32" s="22"/>
      <c r="O32" s="21"/>
      <c r="P32" s="21"/>
      <c r="Q32" s="21"/>
      <c r="R32" s="21"/>
      <c r="S32" s="21"/>
      <c r="T32" s="21"/>
      <c r="U32" s="21"/>
      <c r="V32" s="21"/>
      <c r="W32" s="21"/>
      <c r="X32" s="21"/>
      <c r="Y32" s="21"/>
      <c r="Z32" s="21"/>
    </row>
    <row r="33" spans="1:26" x14ac:dyDescent="0.25">
      <c r="A33" s="22"/>
      <c r="B33" s="28" t="s">
        <v>1</v>
      </c>
      <c r="C33" s="35"/>
      <c r="D33" s="136"/>
      <c r="E33" s="497">
        <v>0.3584</v>
      </c>
      <c r="F33" s="157" t="s">
        <v>40</v>
      </c>
      <c r="G33" s="157" t="s">
        <v>40</v>
      </c>
      <c r="H33" s="501">
        <v>0.42409999999999998</v>
      </c>
      <c r="I33" s="157" t="s">
        <v>40</v>
      </c>
      <c r="J33" s="35"/>
      <c r="K33" s="35"/>
      <c r="L33" s="35"/>
      <c r="M33" s="30"/>
      <c r="N33" s="31"/>
      <c r="O33" s="32"/>
      <c r="P33" s="32"/>
      <c r="Q33" s="32">
        <f t="shared" ref="Q33:Q44" si="5">1-E33</f>
        <v>0.64159999999999995</v>
      </c>
      <c r="R33" s="32"/>
      <c r="S33" s="32"/>
      <c r="T33" s="32">
        <f t="shared" ref="T33:T44" si="6">1-H33</f>
        <v>0.57590000000000008</v>
      </c>
      <c r="U33" s="32"/>
      <c r="V33" s="32"/>
      <c r="W33" s="32"/>
      <c r="X33" s="32"/>
      <c r="Y33" s="32"/>
      <c r="Z33" s="32"/>
    </row>
    <row r="34" spans="1:26" x14ac:dyDescent="0.25">
      <c r="A34" s="22"/>
      <c r="B34" s="28" t="s">
        <v>2</v>
      </c>
      <c r="C34" s="35"/>
      <c r="D34" s="136"/>
      <c r="E34" s="497">
        <v>0.35410000000000003</v>
      </c>
      <c r="F34" s="157" t="s">
        <v>40</v>
      </c>
      <c r="G34" s="157" t="s">
        <v>40</v>
      </c>
      <c r="H34" s="501">
        <v>0.42849999999999999</v>
      </c>
      <c r="I34" s="157" t="s">
        <v>40</v>
      </c>
      <c r="J34" s="35"/>
      <c r="K34" s="35"/>
      <c r="L34" s="35"/>
      <c r="M34" s="30"/>
      <c r="N34" s="31"/>
      <c r="O34" s="32"/>
      <c r="P34" s="32"/>
      <c r="Q34" s="32">
        <f t="shared" si="5"/>
        <v>0.64589999999999992</v>
      </c>
      <c r="R34" s="32"/>
      <c r="S34" s="32"/>
      <c r="T34" s="32">
        <f t="shared" si="6"/>
        <v>0.57150000000000001</v>
      </c>
      <c r="U34" s="32"/>
      <c r="V34" s="32"/>
      <c r="W34" s="32"/>
      <c r="X34" s="32"/>
      <c r="Y34" s="32"/>
      <c r="Z34" s="32"/>
    </row>
    <row r="35" spans="1:26" x14ac:dyDescent="0.25">
      <c r="A35" s="22"/>
      <c r="B35" s="28" t="s">
        <v>3</v>
      </c>
      <c r="C35" s="35"/>
      <c r="D35" s="136"/>
      <c r="E35" s="497">
        <v>0.3473</v>
      </c>
      <c r="F35" s="157" t="s">
        <v>40</v>
      </c>
      <c r="G35" s="157" t="s">
        <v>40</v>
      </c>
      <c r="H35" s="501">
        <v>0.42820000000000003</v>
      </c>
      <c r="I35" s="157" t="s">
        <v>40</v>
      </c>
      <c r="J35" s="35"/>
      <c r="K35" s="35"/>
      <c r="L35" s="35"/>
      <c r="M35" s="30"/>
      <c r="N35" s="31"/>
      <c r="O35" s="32"/>
      <c r="P35" s="32"/>
      <c r="Q35" s="32">
        <f t="shared" si="5"/>
        <v>0.65270000000000006</v>
      </c>
      <c r="R35" s="32"/>
      <c r="S35" s="32"/>
      <c r="T35" s="32">
        <f t="shared" si="6"/>
        <v>0.57179999999999997</v>
      </c>
      <c r="U35" s="32"/>
      <c r="V35" s="32"/>
      <c r="W35" s="32"/>
      <c r="X35" s="32"/>
      <c r="Y35" s="32"/>
      <c r="Z35" s="32"/>
    </row>
    <row r="36" spans="1:26" x14ac:dyDescent="0.25">
      <c r="A36" s="22"/>
      <c r="B36" s="28" t="s">
        <v>4</v>
      </c>
      <c r="C36" s="35"/>
      <c r="D36" s="136"/>
      <c r="E36" s="497">
        <v>0.3468</v>
      </c>
      <c r="F36" s="157" t="s">
        <v>40</v>
      </c>
      <c r="G36" s="157" t="s">
        <v>40</v>
      </c>
      <c r="H36" s="501">
        <v>0.44019999999999998</v>
      </c>
      <c r="I36" s="157" t="s">
        <v>40</v>
      </c>
      <c r="J36" s="35"/>
      <c r="K36" s="35"/>
      <c r="L36" s="35"/>
      <c r="M36" s="30"/>
      <c r="N36" s="31"/>
      <c r="O36" s="32"/>
      <c r="P36" s="32"/>
      <c r="Q36" s="32">
        <f t="shared" si="5"/>
        <v>0.6532</v>
      </c>
      <c r="R36" s="32"/>
      <c r="S36" s="32"/>
      <c r="T36" s="32">
        <f t="shared" si="6"/>
        <v>0.55980000000000008</v>
      </c>
      <c r="U36" s="32"/>
      <c r="V36" s="32"/>
      <c r="W36" s="32"/>
      <c r="X36" s="32"/>
      <c r="Y36" s="32"/>
      <c r="Z36" s="32"/>
    </row>
    <row r="37" spans="1:26" x14ac:dyDescent="0.25">
      <c r="A37" s="22"/>
      <c r="B37" s="28" t="s">
        <v>5</v>
      </c>
      <c r="C37" s="35"/>
      <c r="D37" s="136"/>
      <c r="E37" s="497">
        <v>0.3669</v>
      </c>
      <c r="F37" s="157" t="s">
        <v>40</v>
      </c>
      <c r="G37" s="157" t="s">
        <v>40</v>
      </c>
      <c r="H37" s="501">
        <v>0.4551</v>
      </c>
      <c r="I37" s="157" t="s">
        <v>40</v>
      </c>
      <c r="J37" s="35"/>
      <c r="K37" s="35"/>
      <c r="L37" s="35"/>
      <c r="M37" s="30"/>
      <c r="N37" s="31"/>
      <c r="O37" s="32"/>
      <c r="P37" s="32"/>
      <c r="Q37" s="32">
        <f t="shared" si="5"/>
        <v>0.6331</v>
      </c>
      <c r="R37" s="32"/>
      <c r="S37" s="32"/>
      <c r="T37" s="32">
        <f t="shared" si="6"/>
        <v>0.54489999999999994</v>
      </c>
      <c r="U37" s="32"/>
      <c r="V37" s="32"/>
      <c r="W37" s="32"/>
      <c r="X37" s="32"/>
      <c r="Y37" s="32"/>
      <c r="Z37" s="32"/>
    </row>
    <row r="38" spans="1:26" x14ac:dyDescent="0.25">
      <c r="A38" s="22"/>
      <c r="B38" s="187" t="s">
        <v>6</v>
      </c>
      <c r="C38" s="213"/>
      <c r="D38" s="214"/>
      <c r="E38" s="498">
        <v>0.3992</v>
      </c>
      <c r="F38" s="216" t="s">
        <v>40</v>
      </c>
      <c r="G38" s="216" t="s">
        <v>40</v>
      </c>
      <c r="H38" s="502">
        <v>0.46310000000000001</v>
      </c>
      <c r="I38" s="218" t="s">
        <v>40</v>
      </c>
      <c r="J38" s="35"/>
      <c r="K38" s="35"/>
      <c r="L38" s="35"/>
      <c r="M38" s="30"/>
      <c r="N38" s="31"/>
      <c r="O38" s="32"/>
      <c r="P38" s="32"/>
      <c r="Q38" s="32">
        <f t="shared" si="5"/>
        <v>0.6008</v>
      </c>
      <c r="R38" s="32"/>
      <c r="S38" s="32"/>
      <c r="T38" s="32">
        <f t="shared" si="6"/>
        <v>0.53689999999999993</v>
      </c>
      <c r="U38" s="32"/>
      <c r="V38" s="32"/>
      <c r="W38" s="32"/>
      <c r="X38" s="32"/>
      <c r="Y38" s="32"/>
      <c r="Z38" s="32"/>
    </row>
    <row r="39" spans="1:26" x14ac:dyDescent="0.25">
      <c r="A39" s="22"/>
      <c r="B39" s="191" t="s">
        <v>7</v>
      </c>
      <c r="C39" s="206"/>
      <c r="D39" s="207"/>
      <c r="E39" s="499">
        <v>0.41589999999999999</v>
      </c>
      <c r="F39" s="209" t="s">
        <v>40</v>
      </c>
      <c r="G39" s="209" t="s">
        <v>40</v>
      </c>
      <c r="H39" s="503">
        <v>0.47170000000000001</v>
      </c>
      <c r="I39" s="219" t="s">
        <v>40</v>
      </c>
      <c r="J39" s="35"/>
      <c r="K39" s="35"/>
      <c r="L39" s="35"/>
      <c r="M39" s="30"/>
      <c r="N39" s="31"/>
      <c r="O39" s="32"/>
      <c r="P39" s="32"/>
      <c r="Q39" s="32">
        <f t="shared" si="5"/>
        <v>0.58410000000000006</v>
      </c>
      <c r="R39" s="32"/>
      <c r="S39" s="32"/>
      <c r="T39" s="32">
        <f t="shared" si="6"/>
        <v>0.52829999999999999</v>
      </c>
      <c r="U39" s="32"/>
      <c r="V39" s="32"/>
      <c r="W39" s="32"/>
      <c r="X39" s="32"/>
      <c r="Y39" s="32"/>
      <c r="Z39" s="32"/>
    </row>
    <row r="40" spans="1:26" x14ac:dyDescent="0.25">
      <c r="A40" s="22"/>
      <c r="B40" s="191" t="s">
        <v>8</v>
      </c>
      <c r="C40" s="206"/>
      <c r="D40" s="207"/>
      <c r="E40" s="499">
        <v>0.41589999999999999</v>
      </c>
      <c r="F40" s="209" t="s">
        <v>40</v>
      </c>
      <c r="G40" s="209" t="s">
        <v>40</v>
      </c>
      <c r="H40" s="503">
        <v>0.4662</v>
      </c>
      <c r="I40" s="219" t="s">
        <v>40</v>
      </c>
      <c r="J40" s="35"/>
      <c r="K40" s="35"/>
      <c r="L40" s="35"/>
      <c r="M40" s="30"/>
      <c r="N40" s="31"/>
      <c r="O40" s="32"/>
      <c r="P40" s="32"/>
      <c r="Q40" s="32">
        <f t="shared" si="5"/>
        <v>0.58410000000000006</v>
      </c>
      <c r="R40" s="32"/>
      <c r="S40" s="32"/>
      <c r="T40" s="32">
        <f t="shared" si="6"/>
        <v>0.53380000000000005</v>
      </c>
      <c r="U40" s="32"/>
      <c r="V40" s="32"/>
      <c r="W40" s="32"/>
      <c r="X40" s="32"/>
      <c r="Y40" s="32"/>
      <c r="Z40" s="32"/>
    </row>
    <row r="41" spans="1:26" x14ac:dyDescent="0.25">
      <c r="A41" s="22"/>
      <c r="B41" s="194" t="s">
        <v>9</v>
      </c>
      <c r="C41" s="220"/>
      <c r="D41" s="221"/>
      <c r="E41" s="500">
        <v>0.4007</v>
      </c>
      <c r="F41" s="223" t="s">
        <v>40</v>
      </c>
      <c r="G41" s="223" t="s">
        <v>40</v>
      </c>
      <c r="H41" s="504">
        <v>0.46100000000000002</v>
      </c>
      <c r="I41" s="225" t="s">
        <v>40</v>
      </c>
      <c r="J41" s="35"/>
      <c r="K41" s="35"/>
      <c r="L41" s="35"/>
      <c r="M41" s="30"/>
      <c r="N41" s="31"/>
      <c r="O41" s="32"/>
      <c r="P41" s="32"/>
      <c r="Q41" s="32">
        <f t="shared" si="5"/>
        <v>0.59929999999999994</v>
      </c>
      <c r="R41" s="32"/>
      <c r="S41" s="32"/>
      <c r="T41" s="32">
        <f t="shared" si="6"/>
        <v>0.53899999999999992</v>
      </c>
      <c r="U41" s="32"/>
      <c r="V41" s="32"/>
      <c r="W41" s="32"/>
      <c r="X41" s="32"/>
      <c r="Y41" s="32"/>
      <c r="Z41" s="32"/>
    </row>
    <row r="42" spans="1:26" x14ac:dyDescent="0.25">
      <c r="A42" s="22"/>
      <c r="B42" s="28" t="s">
        <v>10</v>
      </c>
      <c r="C42" s="35"/>
      <c r="D42" s="136"/>
      <c r="E42" s="497">
        <v>0.3664</v>
      </c>
      <c r="F42" s="157" t="s">
        <v>40</v>
      </c>
      <c r="G42" s="157" t="s">
        <v>40</v>
      </c>
      <c r="H42" s="501">
        <v>0.46050000000000002</v>
      </c>
      <c r="I42" s="157" t="s">
        <v>40</v>
      </c>
      <c r="J42" s="35"/>
      <c r="K42" s="35"/>
      <c r="L42" s="35"/>
      <c r="M42" s="30"/>
      <c r="N42" s="31"/>
      <c r="O42" s="32"/>
      <c r="P42" s="32"/>
      <c r="Q42" s="32">
        <f t="shared" si="5"/>
        <v>0.63359999999999994</v>
      </c>
      <c r="R42" s="32"/>
      <c r="S42" s="32"/>
      <c r="T42" s="32">
        <f t="shared" si="6"/>
        <v>0.53949999999999998</v>
      </c>
      <c r="U42" s="32"/>
      <c r="V42" s="32"/>
      <c r="W42" s="32"/>
      <c r="X42" s="32"/>
      <c r="Y42" s="32"/>
      <c r="Z42" s="32"/>
    </row>
    <row r="43" spans="1:26" x14ac:dyDescent="0.25">
      <c r="A43" s="22"/>
      <c r="B43" s="28" t="s">
        <v>11</v>
      </c>
      <c r="C43" s="35"/>
      <c r="D43" s="136"/>
      <c r="E43" s="497">
        <v>0.3518</v>
      </c>
      <c r="F43" s="157" t="s">
        <v>40</v>
      </c>
      <c r="G43" s="157" t="s">
        <v>40</v>
      </c>
      <c r="H43" s="501">
        <v>0.45450000000000002</v>
      </c>
      <c r="I43" s="157" t="s">
        <v>40</v>
      </c>
      <c r="J43" s="35"/>
      <c r="K43" s="35"/>
      <c r="L43" s="35"/>
      <c r="M43" s="30"/>
      <c r="N43" s="31"/>
      <c r="O43" s="32"/>
      <c r="P43" s="32"/>
      <c r="Q43" s="32">
        <f t="shared" si="5"/>
        <v>0.6482</v>
      </c>
      <c r="R43" s="32"/>
      <c r="S43" s="32"/>
      <c r="T43" s="32">
        <f t="shared" si="6"/>
        <v>0.54549999999999998</v>
      </c>
      <c r="U43" s="32"/>
      <c r="V43" s="32"/>
      <c r="W43" s="32"/>
      <c r="X43" s="32"/>
      <c r="Y43" s="32"/>
      <c r="Z43" s="32"/>
    </row>
    <row r="44" spans="1:26" x14ac:dyDescent="0.25">
      <c r="A44" s="22"/>
      <c r="B44" s="28" t="s">
        <v>12</v>
      </c>
      <c r="C44" s="35"/>
      <c r="D44" s="136"/>
      <c r="E44" s="497">
        <v>0.35589999999999999</v>
      </c>
      <c r="F44" s="157" t="s">
        <v>40</v>
      </c>
      <c r="G44" s="157" t="s">
        <v>40</v>
      </c>
      <c r="H44" s="501">
        <v>0.43369999999999997</v>
      </c>
      <c r="I44" s="157" t="s">
        <v>40</v>
      </c>
      <c r="J44" s="35"/>
      <c r="K44" s="35"/>
      <c r="L44" s="35"/>
      <c r="M44" s="30"/>
      <c r="N44" s="31"/>
      <c r="O44" s="32"/>
      <c r="P44" s="32"/>
      <c r="Q44" s="32">
        <f t="shared" si="5"/>
        <v>0.64410000000000001</v>
      </c>
      <c r="R44" s="32"/>
      <c r="S44" s="32"/>
      <c r="T44" s="32">
        <f t="shared" si="6"/>
        <v>0.56630000000000003</v>
      </c>
      <c r="U44" s="32"/>
      <c r="V44" s="32"/>
      <c r="W44" s="32"/>
      <c r="X44" s="32"/>
      <c r="Y44" s="32"/>
      <c r="Z44" s="32"/>
    </row>
    <row r="45" spans="1:26" x14ac:dyDescent="0.25">
      <c r="A45" s="22"/>
      <c r="B45" s="28"/>
      <c r="C45" s="35"/>
      <c r="D45" s="35"/>
      <c r="E45" s="35"/>
      <c r="F45" s="35"/>
      <c r="G45" s="35"/>
      <c r="H45" s="35"/>
      <c r="I45" s="35"/>
      <c r="J45" s="35"/>
      <c r="K45" s="35"/>
      <c r="L45" s="35"/>
      <c r="M45" s="30"/>
      <c r="N45" s="31"/>
      <c r="O45" s="32"/>
      <c r="P45" s="32"/>
      <c r="Q45" s="32"/>
      <c r="R45" s="32"/>
      <c r="S45" s="32"/>
      <c r="T45" s="32"/>
      <c r="U45" s="32"/>
      <c r="V45" s="32"/>
      <c r="W45" s="32"/>
      <c r="X45" s="32"/>
      <c r="Y45" s="32"/>
      <c r="Z45" s="32"/>
    </row>
    <row r="46" spans="1:26" x14ac:dyDescent="0.25">
      <c r="A46" s="22"/>
      <c r="B46" s="36" t="s">
        <v>202</v>
      </c>
      <c r="C46" s="35"/>
      <c r="D46" s="35"/>
      <c r="E46" s="35"/>
      <c r="F46" s="35"/>
      <c r="G46" s="35"/>
      <c r="H46" s="35"/>
      <c r="I46" s="35"/>
      <c r="J46" s="35"/>
      <c r="K46" s="35"/>
      <c r="L46" s="35"/>
      <c r="M46" s="30"/>
      <c r="N46" s="31"/>
      <c r="O46" s="32"/>
      <c r="P46" s="32"/>
      <c r="Q46" s="32"/>
      <c r="R46" s="32"/>
      <c r="S46" s="32"/>
      <c r="T46" s="32"/>
      <c r="U46" s="32"/>
      <c r="V46" s="32"/>
      <c r="W46" s="32"/>
      <c r="X46" s="32"/>
      <c r="Y46" s="32"/>
      <c r="Z46" s="32"/>
    </row>
    <row r="47" spans="1:26" x14ac:dyDescent="0.25">
      <c r="A47" s="22"/>
      <c r="B47" s="36" t="s">
        <v>213</v>
      </c>
      <c r="C47" s="31"/>
      <c r="D47" s="31"/>
      <c r="E47" s="31"/>
      <c r="F47" s="31"/>
      <c r="G47" s="31"/>
      <c r="H47" s="31"/>
      <c r="I47" s="33"/>
      <c r="J47" s="33"/>
      <c r="K47" s="33"/>
      <c r="L47" s="31"/>
      <c r="M47" s="31"/>
      <c r="N47" s="31"/>
      <c r="O47" s="32"/>
      <c r="P47" s="32"/>
      <c r="Q47" s="32"/>
      <c r="R47" s="32"/>
      <c r="S47" s="32"/>
      <c r="T47" s="32"/>
      <c r="U47" s="32"/>
      <c r="V47" s="32"/>
      <c r="W47" s="32"/>
      <c r="X47" s="32"/>
      <c r="Y47" s="32"/>
      <c r="Z47" s="32"/>
    </row>
    <row r="48" spans="1:26" x14ac:dyDescent="0.25">
      <c r="A48" s="22"/>
      <c r="B48" s="36" t="s">
        <v>66</v>
      </c>
      <c r="C48" s="31"/>
      <c r="D48" s="31"/>
      <c r="E48" s="31"/>
      <c r="F48" s="31"/>
      <c r="G48" s="31"/>
      <c r="H48" s="31"/>
      <c r="I48" s="33"/>
      <c r="J48" s="33"/>
      <c r="K48" s="33"/>
      <c r="L48" s="31"/>
      <c r="M48" s="31"/>
      <c r="N48" s="31"/>
      <c r="O48" s="32"/>
      <c r="P48" s="32"/>
      <c r="Q48" s="32"/>
      <c r="R48" s="32"/>
      <c r="S48" s="32"/>
      <c r="T48" s="32"/>
      <c r="U48" s="32"/>
      <c r="V48" s="32"/>
      <c r="W48" s="32"/>
      <c r="X48" s="32"/>
      <c r="Y48" s="32"/>
      <c r="Z48" s="32"/>
    </row>
    <row r="49" spans="1:38" x14ac:dyDescent="0.25">
      <c r="A49" s="22"/>
      <c r="B49" s="36" t="s">
        <v>67</v>
      </c>
      <c r="C49" s="31"/>
      <c r="D49" s="31"/>
      <c r="E49" s="31"/>
      <c r="F49" s="31"/>
      <c r="G49" s="31"/>
      <c r="H49" s="31"/>
      <c r="I49" s="33"/>
      <c r="J49" s="33"/>
      <c r="K49" s="33"/>
      <c r="L49" s="31"/>
      <c r="M49" s="31"/>
      <c r="N49" s="31"/>
      <c r="O49" s="32"/>
      <c r="P49" s="32"/>
      <c r="Q49" s="32"/>
      <c r="R49" s="32"/>
      <c r="S49" s="32"/>
      <c r="T49" s="32"/>
      <c r="U49" s="32"/>
      <c r="V49" s="32"/>
      <c r="W49" s="32"/>
      <c r="X49" s="32"/>
      <c r="Y49" s="32"/>
      <c r="Z49" s="32"/>
    </row>
    <row r="50" spans="1:38" x14ac:dyDescent="0.25">
      <c r="A50" s="22"/>
      <c r="B50" s="36" t="s">
        <v>68</v>
      </c>
      <c r="C50" s="31"/>
      <c r="D50" s="31"/>
      <c r="E50" s="31"/>
      <c r="F50" s="31"/>
      <c r="G50" s="31"/>
      <c r="H50" s="31"/>
      <c r="I50" s="33"/>
      <c r="J50" s="33"/>
      <c r="K50" s="33"/>
      <c r="L50" s="31"/>
      <c r="M50" s="31"/>
      <c r="N50" s="31"/>
      <c r="O50" s="32"/>
      <c r="P50" s="32"/>
      <c r="Q50" s="32"/>
      <c r="R50" s="32"/>
      <c r="S50" s="32"/>
      <c r="T50" s="32"/>
      <c r="U50" s="32"/>
      <c r="V50" s="32"/>
      <c r="W50" s="32"/>
      <c r="X50" s="32"/>
      <c r="Y50" s="32"/>
      <c r="Z50" s="32"/>
    </row>
    <row r="51" spans="1:38" x14ac:dyDescent="0.25">
      <c r="A51" s="22"/>
      <c r="B51" s="28"/>
      <c r="C51" s="31"/>
      <c r="D51" s="31"/>
      <c r="E51" s="31"/>
      <c r="F51" s="31"/>
      <c r="G51" s="31"/>
      <c r="H51" s="31"/>
      <c r="I51" s="33"/>
      <c r="J51" s="33"/>
      <c r="K51" s="33"/>
      <c r="L51" s="31"/>
      <c r="M51" s="31"/>
      <c r="N51" s="31"/>
      <c r="O51" s="32"/>
      <c r="P51" s="32"/>
      <c r="Q51" s="32"/>
      <c r="R51" s="32"/>
      <c r="S51" s="32"/>
      <c r="T51" s="32"/>
      <c r="U51" s="32"/>
      <c r="V51" s="32"/>
      <c r="W51" s="32"/>
      <c r="X51" s="32"/>
      <c r="Y51" s="32"/>
      <c r="Z51" s="32"/>
    </row>
    <row r="52" spans="1:38" ht="15.6" x14ac:dyDescent="0.3">
      <c r="A52" s="22"/>
      <c r="B52" s="534" t="str">
        <f>$B$1</f>
        <v xml:space="preserve">Jersey Central Power &amp; Light </v>
      </c>
      <c r="C52" s="534"/>
      <c r="D52" s="534"/>
      <c r="E52" s="534"/>
      <c r="F52" s="534"/>
      <c r="G52" s="534"/>
      <c r="H52" s="534"/>
      <c r="I52" s="534"/>
      <c r="J52" s="534"/>
      <c r="K52" s="534"/>
      <c r="L52" s="534"/>
      <c r="M52" s="31"/>
      <c r="N52" s="70"/>
      <c r="O52" s="32"/>
      <c r="P52" s="32"/>
      <c r="Q52" s="32"/>
      <c r="R52" s="32"/>
      <c r="S52" s="32"/>
      <c r="T52" s="32"/>
      <c r="U52" s="32"/>
      <c r="V52" s="32"/>
      <c r="W52" s="32"/>
      <c r="X52" s="32"/>
      <c r="Y52" s="32"/>
      <c r="Z52" s="32"/>
    </row>
    <row r="53" spans="1:38" ht="15.6" x14ac:dyDescent="0.3">
      <c r="A53" s="22"/>
      <c r="B53" s="534" t="str">
        <f>$B$2</f>
        <v>Attachment 2</v>
      </c>
      <c r="C53" s="534"/>
      <c r="D53" s="534"/>
      <c r="E53" s="534"/>
      <c r="F53" s="534"/>
      <c r="G53" s="534"/>
      <c r="H53" s="534"/>
      <c r="I53" s="534"/>
      <c r="J53" s="534"/>
      <c r="K53" s="534"/>
      <c r="L53" s="534"/>
      <c r="M53" s="70"/>
      <c r="N53" s="31"/>
      <c r="O53" s="32"/>
      <c r="P53" s="32"/>
      <c r="Q53" s="32"/>
      <c r="R53" s="32"/>
      <c r="S53" s="32"/>
      <c r="T53" s="32"/>
      <c r="U53" s="32"/>
      <c r="V53" s="32"/>
      <c r="X53" s="32"/>
      <c r="Y53" s="32"/>
      <c r="Z53" s="32"/>
      <c r="AA53" s="55"/>
    </row>
    <row r="54" spans="1:38" x14ac:dyDescent="0.25">
      <c r="A54" s="22"/>
      <c r="B54" s="28"/>
      <c r="C54" s="31"/>
      <c r="D54" s="31"/>
      <c r="E54" s="31"/>
      <c r="F54" s="31"/>
      <c r="G54" s="31"/>
      <c r="H54" s="31"/>
      <c r="I54" s="33"/>
      <c r="J54" s="33"/>
      <c r="K54" s="33"/>
      <c r="L54" s="31"/>
      <c r="M54" s="31"/>
      <c r="N54" s="31"/>
      <c r="O54" s="32"/>
      <c r="P54" s="32"/>
      <c r="Q54" s="32"/>
      <c r="R54" s="32"/>
      <c r="S54" s="32"/>
      <c r="T54" s="32"/>
      <c r="U54" s="32"/>
      <c r="V54" s="32"/>
      <c r="W54" s="32"/>
      <c r="X54" s="301"/>
      <c r="Y54" s="32"/>
      <c r="Z54" s="32"/>
    </row>
    <row r="55" spans="1:38" x14ac:dyDescent="0.25">
      <c r="A55" s="22"/>
      <c r="B55" s="28"/>
      <c r="C55" s="31"/>
      <c r="D55" s="31"/>
      <c r="E55" s="31"/>
      <c r="F55" s="31"/>
      <c r="G55" s="31"/>
      <c r="H55" s="31"/>
      <c r="I55" s="33"/>
      <c r="J55" s="33"/>
      <c r="K55" s="33"/>
      <c r="L55" s="31"/>
      <c r="M55" s="31"/>
      <c r="N55" s="31"/>
      <c r="O55" s="32"/>
      <c r="P55" s="32"/>
      <c r="Q55" s="32"/>
      <c r="R55" s="32"/>
      <c r="S55" s="32"/>
      <c r="T55" s="32"/>
      <c r="U55" s="32"/>
      <c r="V55" s="32"/>
      <c r="X55" s="31"/>
      <c r="Y55" s="301" t="s">
        <v>459</v>
      </c>
      <c r="Z55" s="32"/>
    </row>
    <row r="56" spans="1:38" x14ac:dyDescent="0.25">
      <c r="A56" s="18" t="s">
        <v>36</v>
      </c>
      <c r="B56" s="37" t="s">
        <v>48</v>
      </c>
      <c r="E56" s="31"/>
      <c r="F56" s="31"/>
      <c r="G56" s="31"/>
      <c r="H56" s="31"/>
      <c r="I56" s="33"/>
      <c r="J56" s="33"/>
      <c r="K56" s="33"/>
      <c r="O56" s="16"/>
      <c r="Y56" s="296" t="s">
        <v>253</v>
      </c>
      <c r="Z56" s="135"/>
      <c r="AJ56" s="90"/>
      <c r="AK56" s="90"/>
      <c r="AL56" s="90"/>
    </row>
    <row r="57" spans="1:38" x14ac:dyDescent="0.25">
      <c r="A57" s="22"/>
      <c r="B57" s="39" t="s">
        <v>458</v>
      </c>
      <c r="N57" s="40"/>
      <c r="O57" s="41"/>
      <c r="P57" s="41"/>
      <c r="Q57" s="41" t="s">
        <v>266</v>
      </c>
      <c r="R57" s="41"/>
      <c r="S57" s="41"/>
      <c r="T57" s="41"/>
      <c r="U57" s="42"/>
      <c r="W57" s="26" t="s">
        <v>13</v>
      </c>
      <c r="AB57" s="26" t="s">
        <v>305</v>
      </c>
      <c r="AJ57" s="90"/>
      <c r="AK57" s="506"/>
      <c r="AL57" s="90"/>
    </row>
    <row r="58" spans="1:38" x14ac:dyDescent="0.25">
      <c r="A58" s="22"/>
      <c r="B58" s="17" t="s">
        <v>38</v>
      </c>
      <c r="C58" s="26"/>
      <c r="D58" s="26"/>
      <c r="E58" s="26" t="str">
        <f>+E$13</f>
        <v>RT{1}</v>
      </c>
      <c r="F58" s="26" t="str">
        <f>+F$13</f>
        <v>RS{2}</v>
      </c>
      <c r="G58" s="26" t="str">
        <f>+G$13</f>
        <v>GS{3}</v>
      </c>
      <c r="H58" s="26" t="s">
        <v>203</v>
      </c>
      <c r="I58" s="26" t="str">
        <f>+I$13</f>
        <v>OL/SL</v>
      </c>
      <c r="J58" s="26" t="s">
        <v>13</v>
      </c>
      <c r="K58" s="26"/>
      <c r="L58" s="26"/>
      <c r="M58" s="26" t="s">
        <v>179</v>
      </c>
      <c r="N58" s="43"/>
      <c r="O58" s="44"/>
      <c r="P58" s="44"/>
      <c r="Q58" s="26" t="str">
        <f>+Q$13</f>
        <v>RT{1}</v>
      </c>
      <c r="R58" s="26" t="str">
        <f>+R$13</f>
        <v>RS{2}</v>
      </c>
      <c r="S58" s="26" t="str">
        <f>+S$13</f>
        <v>GS{3}</v>
      </c>
      <c r="T58" s="26" t="str">
        <f>+T$13</f>
        <v>GST</v>
      </c>
      <c r="U58" s="45" t="str">
        <f>+U$13</f>
        <v>OL/SL</v>
      </c>
      <c r="V58" s="26"/>
      <c r="W58" s="26" t="s">
        <v>59</v>
      </c>
      <c r="X58" s="26" t="s">
        <v>64</v>
      </c>
      <c r="Y58" s="26" t="s">
        <v>63</v>
      </c>
      <c r="Z58" s="311" t="s">
        <v>60</v>
      </c>
      <c r="AA58" s="26" t="s">
        <v>466</v>
      </c>
      <c r="AB58" s="26" t="s">
        <v>306</v>
      </c>
      <c r="AC58" s="26" t="s">
        <v>53</v>
      </c>
      <c r="AD58" s="302" t="s">
        <v>308</v>
      </c>
      <c r="AF58" s="26" t="s">
        <v>55</v>
      </c>
      <c r="AG58" s="26" t="s">
        <v>54</v>
      </c>
      <c r="AJ58" s="90"/>
      <c r="AK58" s="90"/>
      <c r="AL58" s="90"/>
    </row>
    <row r="59" spans="1:38" x14ac:dyDescent="0.25">
      <c r="A59" s="22"/>
      <c r="M59" s="16" t="s">
        <v>180</v>
      </c>
      <c r="N59" s="46"/>
      <c r="O59" s="47"/>
      <c r="P59" s="47"/>
      <c r="Q59" s="47"/>
      <c r="R59" s="47"/>
      <c r="S59" s="47"/>
      <c r="T59" s="47"/>
      <c r="U59" s="48"/>
      <c r="AJ59" s="90"/>
      <c r="AK59" s="90"/>
      <c r="AL59" s="90"/>
    </row>
    <row r="60" spans="1:38" x14ac:dyDescent="0.25">
      <c r="A60" s="22"/>
      <c r="B60" s="28" t="s">
        <v>1</v>
      </c>
      <c r="C60" s="49"/>
      <c r="D60" s="49"/>
      <c r="E60" s="50">
        <f>ROUND(AA60,0)+ROUND($W60/1000,0)</f>
        <v>26171</v>
      </c>
      <c r="F60" s="50">
        <f>ROUND(AB60,0)+ROUND($Z60/1000,0)</f>
        <v>784725</v>
      </c>
      <c r="G60" s="50">
        <f t="shared" ref="G60:G71" si="7">ROUND(AC60,0)-ROUND(SUM($X60/1000),0)</f>
        <v>516906</v>
      </c>
      <c r="H60" s="50">
        <f>ROUND(AG60,0)</f>
        <v>13999</v>
      </c>
      <c r="I60" s="50">
        <f>ROUND(AF60,0)</f>
        <v>9553</v>
      </c>
      <c r="J60" s="50">
        <f t="shared" ref="J60:J72" si="8">SUM(E60:I60)</f>
        <v>1351354</v>
      </c>
      <c r="K60" s="50"/>
      <c r="L60" s="49"/>
      <c r="M60" s="50">
        <f t="shared" ref="M60:M71" si="9">E60-ROUND(SUM($W60/1000),0)</f>
        <v>25608</v>
      </c>
      <c r="N60" s="51" t="s">
        <v>28</v>
      </c>
      <c r="O60" s="52"/>
      <c r="P60" s="53"/>
      <c r="Q60" s="53">
        <f>SUM(E60:E64,E69:E71)</f>
        <v>159889</v>
      </c>
      <c r="R60" s="53">
        <f>SUM(F60:F64,F69:F71)</f>
        <v>5157543</v>
      </c>
      <c r="S60" s="53">
        <f>SUM(G60:G64,G69:G71)</f>
        <v>3796476</v>
      </c>
      <c r="T60" s="53">
        <f>SUM(H60:H64,H69:H71)</f>
        <v>85407</v>
      </c>
      <c r="U60" s="54">
        <f>SUM(I60:I64,I69:I71)</f>
        <v>76214</v>
      </c>
      <c r="V60" s="318">
        <v>42736</v>
      </c>
      <c r="W60" s="297">
        <v>563224.15212279989</v>
      </c>
      <c r="X60" s="298">
        <v>5091.3203364000001</v>
      </c>
      <c r="Y60" s="55">
        <f t="shared" ref="Y60:Y71" si="10">W60-X60</f>
        <v>558132.83178639994</v>
      </c>
      <c r="Z60" s="298">
        <v>2909026.0591469002</v>
      </c>
      <c r="AA60" s="312">
        <v>25607.5306299972</v>
      </c>
      <c r="AB60" s="300">
        <v>781816.44260680105</v>
      </c>
      <c r="AC60" s="50">
        <v>516911.07241712499</v>
      </c>
      <c r="AD60" s="300">
        <v>570015.582417125</v>
      </c>
      <c r="AF60" s="300">
        <v>9552.5910000000003</v>
      </c>
      <c r="AG60" s="312">
        <v>13998.864636318996</v>
      </c>
      <c r="AJ60" s="90"/>
      <c r="AK60" s="49"/>
      <c r="AL60" s="49"/>
    </row>
    <row r="61" spans="1:38" x14ac:dyDescent="0.25">
      <c r="A61" s="22"/>
      <c r="B61" s="28" t="s">
        <v>2</v>
      </c>
      <c r="C61" s="49"/>
      <c r="D61" s="49"/>
      <c r="E61" s="50">
        <f>ROUND(AA61,0)+ROUND($W61/1000,0)</f>
        <v>26904</v>
      </c>
      <c r="F61" s="50">
        <f>ROUND(AB61,0)+ROUND($Z61/1000,0)</f>
        <v>744046</v>
      </c>
      <c r="G61" s="50">
        <f t="shared" si="7"/>
        <v>494196</v>
      </c>
      <c r="H61" s="50">
        <f t="shared" ref="H61:H71" si="11">ROUND(AG61,0)</f>
        <v>12248</v>
      </c>
      <c r="I61" s="50">
        <f t="shared" ref="I61:I71" si="12">ROUND(AF61,0)</f>
        <v>9547</v>
      </c>
      <c r="J61" s="50">
        <f t="shared" si="8"/>
        <v>1286941</v>
      </c>
      <c r="K61" s="50"/>
      <c r="L61" s="49"/>
      <c r="M61" s="50">
        <f t="shared" si="9"/>
        <v>26347</v>
      </c>
      <c r="N61" s="51"/>
      <c r="O61" s="52"/>
      <c r="P61" s="114" t="s">
        <v>193</v>
      </c>
      <c r="Q61" s="53">
        <f>SUMPRODUCT(E33:E37,M60:M64)+SUMPRODUCT(E42:E44,M69:M71)</f>
        <v>55263.197499999995</v>
      </c>
      <c r="R61" s="47"/>
      <c r="S61" s="132" t="s">
        <v>177</v>
      </c>
      <c r="T61" s="53">
        <f>SUMPRODUCT(H33:H37,H60:H64)+SUMPRODUCT(H42:H44,H69:H71)</f>
        <v>37452.340899999996</v>
      </c>
      <c r="U61" s="48">
        <f>T61/T60</f>
        <v>0.43851605723184278</v>
      </c>
      <c r="V61" s="318">
        <v>42767</v>
      </c>
      <c r="W61" s="297">
        <v>556619.33764169994</v>
      </c>
      <c r="X61" s="298">
        <v>5038.5629229999995</v>
      </c>
      <c r="Y61" s="55">
        <f t="shared" si="10"/>
        <v>551580.77471869998</v>
      </c>
      <c r="Z61" s="298">
        <v>1861164.6516640999</v>
      </c>
      <c r="AA61" s="312">
        <v>26346.7848500609</v>
      </c>
      <c r="AB61" s="300">
        <v>742185.40249827504</v>
      </c>
      <c r="AC61" s="50">
        <v>494200.51469542889</v>
      </c>
      <c r="AD61" s="300">
        <v>548756.12069542892</v>
      </c>
      <c r="AF61" s="300">
        <v>9547.3989999999994</v>
      </c>
      <c r="AG61" s="312">
        <v>12248.231417547599</v>
      </c>
      <c r="AJ61" s="90"/>
      <c r="AK61" s="49"/>
      <c r="AL61" s="49"/>
    </row>
    <row r="62" spans="1:38" x14ac:dyDescent="0.25">
      <c r="A62" s="22"/>
      <c r="B62" s="28" t="s">
        <v>3</v>
      </c>
      <c r="C62" s="49"/>
      <c r="D62" s="49"/>
      <c r="E62" s="50">
        <f>ROUND(AA62,0)+ROUND($W62/1000,0)</f>
        <v>24655</v>
      </c>
      <c r="F62" s="50">
        <f>ROUND(AB62,0)+ROUND($Z62/1000,0)</f>
        <v>671272</v>
      </c>
      <c r="G62" s="50">
        <f t="shared" si="7"/>
        <v>507438</v>
      </c>
      <c r="H62" s="50">
        <f t="shared" si="11"/>
        <v>13393</v>
      </c>
      <c r="I62" s="50">
        <f t="shared" si="12"/>
        <v>9542</v>
      </c>
      <c r="J62" s="50">
        <f t="shared" si="8"/>
        <v>1226300</v>
      </c>
      <c r="K62" s="50"/>
      <c r="L62" s="49"/>
      <c r="M62" s="50">
        <f t="shared" si="9"/>
        <v>24104</v>
      </c>
      <c r="N62" s="51"/>
      <c r="O62" s="52"/>
      <c r="P62" s="114" t="s">
        <v>194</v>
      </c>
      <c r="Q62" s="53">
        <f>SUMPRODUCT(Q33:Q37,M60:M64)+SUMPRODUCT(Q42:Q44,M69:M71)</f>
        <v>100381.80249999999</v>
      </c>
      <c r="R62" s="47"/>
      <c r="S62" s="132" t="s">
        <v>178</v>
      </c>
      <c r="T62" s="53">
        <f>+T60-T61</f>
        <v>47954.659100000004</v>
      </c>
      <c r="U62" s="48"/>
      <c r="V62" s="318">
        <v>42795</v>
      </c>
      <c r="W62" s="297">
        <v>550558.04975850007</v>
      </c>
      <c r="X62" s="298">
        <v>4987.4737877000007</v>
      </c>
      <c r="Y62" s="55">
        <f t="shared" si="10"/>
        <v>545570.57597080013</v>
      </c>
      <c r="Z62" s="298">
        <v>1652183.1614411999</v>
      </c>
      <c r="AA62" s="312">
        <v>24103.669767501899</v>
      </c>
      <c r="AB62" s="300">
        <v>669620.43207105692</v>
      </c>
      <c r="AC62" s="50">
        <v>507442.52060739906</v>
      </c>
      <c r="AD62" s="300">
        <v>561437.65260739904</v>
      </c>
      <c r="AF62" s="300">
        <v>9542.2090000000007</v>
      </c>
      <c r="AG62" s="312">
        <v>13393.039994937002</v>
      </c>
      <c r="AJ62" s="90"/>
      <c r="AK62" s="49"/>
      <c r="AL62" s="49"/>
    </row>
    <row r="63" spans="1:38" x14ac:dyDescent="0.25">
      <c r="A63" s="22"/>
      <c r="B63" s="28" t="s">
        <v>4</v>
      </c>
      <c r="C63" s="49"/>
      <c r="D63" s="49"/>
      <c r="E63" s="50">
        <f>ROUND(AA63,0)+ROUND($W63/1000,0)</f>
        <v>19703</v>
      </c>
      <c r="F63" s="50">
        <f>ROUND(AB63,0)+ROUND($Z63/1000,0)</f>
        <v>582601</v>
      </c>
      <c r="G63" s="50">
        <f t="shared" si="7"/>
        <v>473980</v>
      </c>
      <c r="H63" s="50">
        <f t="shared" si="11"/>
        <v>11851</v>
      </c>
      <c r="I63" s="50">
        <f t="shared" si="12"/>
        <v>9537</v>
      </c>
      <c r="J63" s="50">
        <f t="shared" si="8"/>
        <v>1097672</v>
      </c>
      <c r="K63" s="50"/>
      <c r="L63" s="49"/>
      <c r="M63" s="50">
        <f t="shared" si="9"/>
        <v>19159</v>
      </c>
      <c r="N63" s="46"/>
      <c r="O63" s="47"/>
      <c r="P63" s="114" t="s">
        <v>264</v>
      </c>
      <c r="Q63" s="53">
        <f>SUM(W60:W64,W69:W71)/1000</f>
        <v>4242.5729285309999</v>
      </c>
      <c r="R63" s="47"/>
      <c r="S63" s="47"/>
      <c r="T63" s="47"/>
      <c r="U63" s="48"/>
      <c r="V63" s="318">
        <v>42826</v>
      </c>
      <c r="W63" s="297">
        <v>543710.40642109991</v>
      </c>
      <c r="X63" s="298">
        <v>4956.9007151000005</v>
      </c>
      <c r="Y63" s="55">
        <f t="shared" si="10"/>
        <v>538753.50570599991</v>
      </c>
      <c r="Z63" s="298">
        <v>1250289.7638385</v>
      </c>
      <c r="AA63" s="312">
        <v>19158.762448837198</v>
      </c>
      <c r="AB63" s="300">
        <v>581350.88578732498</v>
      </c>
      <c r="AC63" s="50">
        <v>473984.69475001597</v>
      </c>
      <c r="AD63" s="300">
        <v>526322.49175001599</v>
      </c>
      <c r="AF63" s="300">
        <v>9537.0229999999992</v>
      </c>
      <c r="AG63" s="312">
        <v>11851.337002867296</v>
      </c>
      <c r="AJ63" s="90"/>
      <c r="AK63" s="49"/>
      <c r="AL63" s="49"/>
    </row>
    <row r="64" spans="1:38" x14ac:dyDescent="0.25">
      <c r="A64" s="22"/>
      <c r="B64" s="28" t="s">
        <v>5</v>
      </c>
      <c r="C64" s="49"/>
      <c r="D64" s="49"/>
      <c r="E64" s="50">
        <f>ROUND(AA64,0)+ROUND($W64/1000,0)</f>
        <v>14894</v>
      </c>
      <c r="F64" s="50">
        <f>ROUND(AB64,0)+ROUND($Z64/1000,0)</f>
        <v>533514</v>
      </c>
      <c r="G64" s="50">
        <f t="shared" si="7"/>
        <v>442958</v>
      </c>
      <c r="H64" s="196">
        <f t="shared" si="11"/>
        <v>9679</v>
      </c>
      <c r="I64" s="50">
        <f t="shared" si="12"/>
        <v>9532</v>
      </c>
      <c r="J64" s="50">
        <f t="shared" si="8"/>
        <v>1010577</v>
      </c>
      <c r="K64" s="50"/>
      <c r="L64" s="49"/>
      <c r="M64" s="50">
        <f t="shared" si="9"/>
        <v>14357</v>
      </c>
      <c r="N64" s="51" t="s">
        <v>29</v>
      </c>
      <c r="O64" s="52"/>
      <c r="P64" s="53"/>
      <c r="Q64" s="53">
        <f>+SUM(E65:E68)</f>
        <v>76190</v>
      </c>
      <c r="R64" s="53">
        <f>+SUM(F65:F68)</f>
        <v>3663523</v>
      </c>
      <c r="S64" s="53">
        <f>+SUM(G65:G68)</f>
        <v>2187580</v>
      </c>
      <c r="T64" s="53">
        <f>+SUM(H65:H68)</f>
        <v>32616</v>
      </c>
      <c r="U64" s="54">
        <f>+SUM(I65:I68)</f>
        <v>38075</v>
      </c>
      <c r="V64" s="318">
        <v>42856</v>
      </c>
      <c r="W64" s="297">
        <v>537001.81996719993</v>
      </c>
      <c r="X64" s="298">
        <v>4943.0332630000003</v>
      </c>
      <c r="Y64" s="55">
        <f t="shared" si="10"/>
        <v>532058.78670419997</v>
      </c>
      <c r="Z64" s="298">
        <v>924905.80030410003</v>
      </c>
      <c r="AA64" s="312">
        <v>14357.0040796719</v>
      </c>
      <c r="AB64" s="300">
        <v>532589.49712002405</v>
      </c>
      <c r="AC64" s="50">
        <v>442963.184987057</v>
      </c>
      <c r="AD64" s="300">
        <v>497962.108987057</v>
      </c>
      <c r="AF64" s="300">
        <v>9531.8389999999999</v>
      </c>
      <c r="AG64" s="312">
        <v>9679.0557281706042</v>
      </c>
      <c r="AJ64" s="90"/>
      <c r="AK64" s="49"/>
      <c r="AL64" s="49"/>
    </row>
    <row r="65" spans="1:38" x14ac:dyDescent="0.25">
      <c r="A65" s="22"/>
      <c r="B65" s="187" t="s">
        <v>6</v>
      </c>
      <c r="C65" s="188"/>
      <c r="D65" s="188"/>
      <c r="E65" s="189">
        <f>ROUND(AA65,0)+ROUND(SUM($W65+$Z65)/1000,0)</f>
        <v>16476</v>
      </c>
      <c r="F65" s="189">
        <f>ROUND(AB65,0)</f>
        <v>706515</v>
      </c>
      <c r="G65" s="189">
        <f t="shared" si="7"/>
        <v>503595</v>
      </c>
      <c r="H65" s="50">
        <f t="shared" si="11"/>
        <v>8862</v>
      </c>
      <c r="I65" s="189">
        <f t="shared" si="12"/>
        <v>9527</v>
      </c>
      <c r="J65" s="190">
        <f t="shared" si="8"/>
        <v>1244975</v>
      </c>
      <c r="K65" s="159"/>
      <c r="L65" s="49"/>
      <c r="M65" s="198">
        <f t="shared" si="9"/>
        <v>15946</v>
      </c>
      <c r="N65" s="114"/>
      <c r="O65" s="52"/>
      <c r="P65" s="131" t="s">
        <v>151</v>
      </c>
      <c r="Q65" s="53">
        <f>SUMPRODUCT(E38:E41,M65:M68)</f>
        <v>30286.798000000003</v>
      </c>
      <c r="R65" s="159">
        <f>Q$95/1000*T$95/(S$95/1000)</f>
        <v>1937650.243797573</v>
      </c>
      <c r="S65" s="132" t="s">
        <v>177</v>
      </c>
      <c r="T65" s="53">
        <f>+SUMPRODUCT(H38:H41,H65:H68)</f>
        <v>15200.926100000001</v>
      </c>
      <c r="U65" s="56">
        <f>T65/T64</f>
        <v>0.46605733688987</v>
      </c>
      <c r="V65" s="318">
        <v>42887</v>
      </c>
      <c r="W65" s="297">
        <v>530088.10893900006</v>
      </c>
      <c r="X65" s="298">
        <v>4899.8740033000004</v>
      </c>
      <c r="Y65" s="55">
        <f t="shared" si="10"/>
        <v>525188.23493570008</v>
      </c>
      <c r="Z65" s="298">
        <v>1023532.7820398</v>
      </c>
      <c r="AA65" s="505">
        <v>14922.4316553389</v>
      </c>
      <c r="AB65" s="300">
        <v>706515.06056262192</v>
      </c>
      <c r="AC65" s="50">
        <v>503599.92031238601</v>
      </c>
      <c r="AD65" s="300">
        <v>560959.99931238603</v>
      </c>
      <c r="AF65" s="300">
        <v>9526.6579999999994</v>
      </c>
      <c r="AG65" s="312">
        <v>8861.8146137688982</v>
      </c>
      <c r="AJ65" s="90"/>
      <c r="AK65" s="49"/>
      <c r="AL65" s="49"/>
    </row>
    <row r="66" spans="1:38" x14ac:dyDescent="0.25">
      <c r="A66" s="22"/>
      <c r="B66" s="191" t="s">
        <v>7</v>
      </c>
      <c r="C66" s="192"/>
      <c r="D66" s="192"/>
      <c r="E66" s="159">
        <f>ROUND(AA66,0)+ROUND(SUM($W66+$Z66)/1000,0)</f>
        <v>20052</v>
      </c>
      <c r="F66" s="159">
        <f>ROUND(AB66,0)</f>
        <v>976312</v>
      </c>
      <c r="G66" s="159">
        <f t="shared" si="7"/>
        <v>562778</v>
      </c>
      <c r="H66" s="50">
        <f t="shared" si="11"/>
        <v>9625</v>
      </c>
      <c r="I66" s="159">
        <f t="shared" si="12"/>
        <v>9521</v>
      </c>
      <c r="J66" s="193">
        <f t="shared" si="8"/>
        <v>1578288</v>
      </c>
      <c r="K66" s="159"/>
      <c r="L66" s="49"/>
      <c r="M66" s="199">
        <f t="shared" si="9"/>
        <v>19529</v>
      </c>
      <c r="N66" s="114"/>
      <c r="O66" s="52"/>
      <c r="P66" s="131" t="s">
        <v>152</v>
      </c>
      <c r="Q66" s="53">
        <f>SUMPRODUCT(Q38:Q41,M65:M68)</f>
        <v>43823.202000000005</v>
      </c>
      <c r="R66" s="159">
        <f>R$95/1000*T$95/(S$95/1000)</f>
        <v>1725872.7562024272</v>
      </c>
      <c r="S66" s="132" t="s">
        <v>178</v>
      </c>
      <c r="T66" s="53">
        <f>+T64-T65</f>
        <v>17415.073899999999</v>
      </c>
      <c r="U66" s="48"/>
      <c r="V66" s="318">
        <v>42917</v>
      </c>
      <c r="W66" s="297">
        <v>523496.58680840005</v>
      </c>
      <c r="X66" s="298">
        <v>4833.4869042</v>
      </c>
      <c r="Y66" s="55">
        <f t="shared" si="10"/>
        <v>518663.09990420006</v>
      </c>
      <c r="Z66" s="298">
        <v>1214783.9569172999</v>
      </c>
      <c r="AA66" s="505">
        <v>18314.165137530403</v>
      </c>
      <c r="AB66" s="300">
        <v>976311.957905552</v>
      </c>
      <c r="AC66" s="50">
        <v>562783.14787474007</v>
      </c>
      <c r="AD66" s="300">
        <v>629884.75487474003</v>
      </c>
      <c r="AF66" s="300">
        <v>9521.4779999999992</v>
      </c>
      <c r="AG66" s="312">
        <v>9624.8977233470014</v>
      </c>
      <c r="AJ66" s="90"/>
      <c r="AK66" s="49"/>
      <c r="AL66" s="49"/>
    </row>
    <row r="67" spans="1:38" x14ac:dyDescent="0.25">
      <c r="A67" s="22"/>
      <c r="B67" s="191" t="s">
        <v>8</v>
      </c>
      <c r="C67" s="192"/>
      <c r="D67" s="192"/>
      <c r="E67" s="159">
        <f>ROUND(AA67,0)+ROUND(SUM($W67+$Z67)/1000,0)</f>
        <v>21438</v>
      </c>
      <c r="F67" s="159">
        <f>ROUND(AB67,0)</f>
        <v>1079620</v>
      </c>
      <c r="G67" s="159">
        <f t="shared" si="7"/>
        <v>581492</v>
      </c>
      <c r="H67" s="50">
        <f t="shared" si="11"/>
        <v>8337</v>
      </c>
      <c r="I67" s="159">
        <f t="shared" si="12"/>
        <v>9516</v>
      </c>
      <c r="J67" s="193">
        <f t="shared" si="8"/>
        <v>1700403</v>
      </c>
      <c r="K67" s="159"/>
      <c r="L67" s="49"/>
      <c r="M67" s="199">
        <f t="shared" si="9"/>
        <v>20921</v>
      </c>
      <c r="N67" s="58"/>
      <c r="O67" s="58"/>
      <c r="P67" s="114" t="s">
        <v>265</v>
      </c>
      <c r="Q67" s="53">
        <f>SUM(W65:W68)/1000</f>
        <v>2080.4224798939999</v>
      </c>
      <c r="R67" s="66"/>
      <c r="S67" s="58"/>
      <c r="T67" s="58"/>
      <c r="U67" s="59"/>
      <c r="V67" s="318">
        <v>42948</v>
      </c>
      <c r="W67" s="297">
        <v>516770.13112859993</v>
      </c>
      <c r="X67" s="298">
        <v>4786.6299723000002</v>
      </c>
      <c r="Y67" s="55">
        <f t="shared" si="10"/>
        <v>511983.5011562999</v>
      </c>
      <c r="Z67" s="298">
        <v>1269701.3734303999</v>
      </c>
      <c r="AA67" s="505">
        <v>19652.175287622998</v>
      </c>
      <c r="AB67" s="300">
        <v>1079619.5723389499</v>
      </c>
      <c r="AC67" s="50">
        <v>581497.08680325397</v>
      </c>
      <c r="AD67" s="300">
        <v>652538.69780325401</v>
      </c>
      <c r="AE67" s="21"/>
      <c r="AF67" s="300">
        <v>9516.2990000000009</v>
      </c>
      <c r="AG67" s="312">
        <v>8336.506007141701</v>
      </c>
      <c r="AH67" s="21"/>
      <c r="AJ67" s="90"/>
      <c r="AK67" s="49"/>
      <c r="AL67" s="49"/>
    </row>
    <row r="68" spans="1:38" x14ac:dyDescent="0.25">
      <c r="A68" s="22"/>
      <c r="B68" s="194" t="s">
        <v>9</v>
      </c>
      <c r="C68" s="195"/>
      <c r="D68" s="195"/>
      <c r="E68" s="196">
        <f>ROUND(AA68,0)+ROUND(SUM($W68+$Z68)/1000,0)</f>
        <v>18224</v>
      </c>
      <c r="F68" s="196">
        <f>ROUND(AB68,0)</f>
        <v>901076</v>
      </c>
      <c r="G68" s="196">
        <f t="shared" si="7"/>
        <v>539715</v>
      </c>
      <c r="H68" s="196">
        <f t="shared" si="11"/>
        <v>5792</v>
      </c>
      <c r="I68" s="196">
        <f t="shared" si="12"/>
        <v>9511</v>
      </c>
      <c r="J68" s="197">
        <f t="shared" si="8"/>
        <v>1474318</v>
      </c>
      <c r="K68" s="159"/>
      <c r="L68" s="49"/>
      <c r="M68" s="200">
        <f t="shared" si="9"/>
        <v>17714</v>
      </c>
      <c r="N68" s="202" t="s">
        <v>256</v>
      </c>
      <c r="O68" s="41"/>
      <c r="P68" s="41"/>
      <c r="Q68" s="41" t="s">
        <v>130</v>
      </c>
      <c r="R68" s="41"/>
      <c r="S68" s="41"/>
      <c r="T68" s="41"/>
      <c r="U68" s="42"/>
      <c r="V68" s="318">
        <v>42979</v>
      </c>
      <c r="W68" s="297">
        <v>510067.65301799995</v>
      </c>
      <c r="X68" s="298">
        <v>4748.8027156999997</v>
      </c>
      <c r="Y68" s="55">
        <f t="shared" si="10"/>
        <v>505318.85030229995</v>
      </c>
      <c r="Z68" s="298">
        <v>1085319.922977</v>
      </c>
      <c r="AA68" s="505">
        <v>16628.5328073116</v>
      </c>
      <c r="AB68" s="300">
        <v>901075.70826971193</v>
      </c>
      <c r="AC68" s="50">
        <v>539719.90629777999</v>
      </c>
      <c r="AD68" s="300">
        <v>610148.17329777998</v>
      </c>
      <c r="AE68" s="174"/>
      <c r="AF68" s="300">
        <v>9511.125</v>
      </c>
      <c r="AG68" s="312">
        <v>5792.0118773498016</v>
      </c>
      <c r="AH68" s="307"/>
      <c r="AJ68" s="90"/>
      <c r="AK68" s="49"/>
      <c r="AL68" s="49"/>
    </row>
    <row r="69" spans="1:38" x14ac:dyDescent="0.25">
      <c r="A69" s="22"/>
      <c r="B69" s="28" t="s">
        <v>10</v>
      </c>
      <c r="C69" s="49"/>
      <c r="D69" s="49"/>
      <c r="E69" s="50">
        <f>ROUND(AA69,0)+ROUND($W69/1000,0)</f>
        <v>13316</v>
      </c>
      <c r="F69" s="50">
        <f>ROUND(AB69,0)+ROUND($Z69/1000,0)</f>
        <v>616607</v>
      </c>
      <c r="G69" s="50">
        <f t="shared" si="7"/>
        <v>481352</v>
      </c>
      <c r="H69" s="50">
        <f t="shared" si="11"/>
        <v>9655</v>
      </c>
      <c r="I69" s="50">
        <f t="shared" si="12"/>
        <v>9506</v>
      </c>
      <c r="J69" s="50">
        <f t="shared" si="8"/>
        <v>1130436</v>
      </c>
      <c r="K69" s="50"/>
      <c r="L69" s="49"/>
      <c r="M69" s="50">
        <f t="shared" si="9"/>
        <v>12812</v>
      </c>
      <c r="N69" s="43"/>
      <c r="O69" s="44"/>
      <c r="P69" s="44"/>
      <c r="Q69" s="44" t="str">
        <f>+Q$13</f>
        <v>RT{1}</v>
      </c>
      <c r="R69" s="44"/>
      <c r="S69" s="44"/>
      <c r="T69" s="44" t="str">
        <f>+T$13</f>
        <v>GST</v>
      </c>
      <c r="U69" s="45"/>
      <c r="V69" s="318">
        <v>43009</v>
      </c>
      <c r="W69" s="297">
        <v>503664.86184990004</v>
      </c>
      <c r="X69" s="298">
        <v>4744.8050679999997</v>
      </c>
      <c r="Y69" s="55">
        <f t="shared" si="10"/>
        <v>498920.05678190006</v>
      </c>
      <c r="Z69" s="298">
        <v>858064.71484709997</v>
      </c>
      <c r="AA69" s="312">
        <v>12812.072040655401</v>
      </c>
      <c r="AB69" s="300">
        <v>615748.77924449695</v>
      </c>
      <c r="AC69" s="50">
        <v>481357.31496833509</v>
      </c>
      <c r="AD69" s="300">
        <v>542518.38096833508</v>
      </c>
      <c r="AF69" s="300">
        <v>9505.9519999999993</v>
      </c>
      <c r="AG69" s="312">
        <v>9654.5129142968945</v>
      </c>
      <c r="AJ69" s="90"/>
      <c r="AK69" s="49"/>
      <c r="AL69" s="49"/>
    </row>
    <row r="70" spans="1:38" x14ac:dyDescent="0.25">
      <c r="A70" s="22"/>
      <c r="B70" s="28" t="s">
        <v>11</v>
      </c>
      <c r="C70" s="49"/>
      <c r="D70" s="49"/>
      <c r="E70" s="50">
        <f>ROUND(AA70,0)+ROUND($W70/1000,0)</f>
        <v>14708</v>
      </c>
      <c r="F70" s="50">
        <f>ROUND(AB70,0)+ROUND($Z70/1000,0)</f>
        <v>567433</v>
      </c>
      <c r="G70" s="50">
        <f t="shared" si="7"/>
        <v>422134</v>
      </c>
      <c r="H70" s="50">
        <f t="shared" si="11"/>
        <v>6738</v>
      </c>
      <c r="I70" s="50">
        <f t="shared" si="12"/>
        <v>9501</v>
      </c>
      <c r="J70" s="50">
        <f t="shared" si="8"/>
        <v>1020514</v>
      </c>
      <c r="K70" s="50"/>
      <c r="L70" s="49"/>
      <c r="M70" s="50">
        <f t="shared" si="9"/>
        <v>14211</v>
      </c>
      <c r="N70" s="46"/>
      <c r="O70" s="47"/>
      <c r="P70" s="47"/>
      <c r="Q70" s="47"/>
      <c r="R70" s="47"/>
      <c r="S70" s="47"/>
      <c r="T70" s="47"/>
      <c r="U70" s="48"/>
      <c r="V70" s="318">
        <v>43040</v>
      </c>
      <c r="W70" s="297">
        <v>497086.90227129991</v>
      </c>
      <c r="X70" s="298">
        <v>4704.6675745000002</v>
      </c>
      <c r="Y70" s="55">
        <f t="shared" si="10"/>
        <v>492382.23469679989</v>
      </c>
      <c r="Z70" s="298">
        <v>1028470.2814720999</v>
      </c>
      <c r="AA70" s="312">
        <v>14210.7384707623</v>
      </c>
      <c r="AB70" s="300">
        <v>566405.32324776601</v>
      </c>
      <c r="AC70" s="50">
        <v>422139.17746071203</v>
      </c>
      <c r="AD70" s="300">
        <v>477703.61746071203</v>
      </c>
      <c r="AE70" s="90"/>
      <c r="AF70" s="300">
        <v>9500.7829999999994</v>
      </c>
      <c r="AG70" s="312">
        <v>6738.0609270856976</v>
      </c>
      <c r="AH70" s="21"/>
      <c r="AJ70" s="90"/>
      <c r="AK70" s="49"/>
      <c r="AL70" s="49"/>
    </row>
    <row r="71" spans="1:38" x14ac:dyDescent="0.25">
      <c r="A71" s="22"/>
      <c r="B71" s="28" t="s">
        <v>12</v>
      </c>
      <c r="C71" s="49"/>
      <c r="D71" s="49"/>
      <c r="E71" s="50">
        <f>ROUND(AA71,0)+ROUND($W71/1000,0)</f>
        <v>19538</v>
      </c>
      <c r="F71" s="50">
        <f>ROUND(AB71,0)+ROUND($Z71/1000,0)</f>
        <v>657345</v>
      </c>
      <c r="G71" s="50">
        <f t="shared" si="7"/>
        <v>457512</v>
      </c>
      <c r="H71" s="50">
        <f t="shared" si="11"/>
        <v>7844</v>
      </c>
      <c r="I71" s="50">
        <f t="shared" si="12"/>
        <v>9496</v>
      </c>
      <c r="J71" s="50">
        <f t="shared" si="8"/>
        <v>1151735</v>
      </c>
      <c r="K71" s="50"/>
      <c r="L71" s="49"/>
      <c r="M71" s="201">
        <f t="shared" si="9"/>
        <v>19047</v>
      </c>
      <c r="N71" s="51"/>
      <c r="O71" s="52"/>
      <c r="P71" s="115" t="s">
        <v>148</v>
      </c>
      <c r="Q71" s="53">
        <f>SUM(E60:E64,E69:E71)</f>
        <v>159889</v>
      </c>
      <c r="R71" s="53"/>
      <c r="S71" s="115" t="s">
        <v>148</v>
      </c>
      <c r="T71" s="53">
        <f>SUM(H60:H64,H69:H71)</f>
        <v>85407</v>
      </c>
      <c r="U71" s="54"/>
      <c r="V71" s="318">
        <v>43070</v>
      </c>
      <c r="W71" s="321">
        <v>490707.39849850006</v>
      </c>
      <c r="X71" s="319">
        <v>4636.8137026000004</v>
      </c>
      <c r="Y71" s="55">
        <f t="shared" si="10"/>
        <v>486070.58479590004</v>
      </c>
      <c r="Z71" s="319">
        <v>1393628.8582929999</v>
      </c>
      <c r="AA71" s="313">
        <v>19047.313201495799</v>
      </c>
      <c r="AB71" s="317">
        <v>655950.73794021108</v>
      </c>
      <c r="AC71" s="201">
        <v>457516.60524028598</v>
      </c>
      <c r="AD71" s="317">
        <v>511774.49224028597</v>
      </c>
      <c r="AE71" s="38"/>
      <c r="AF71" s="300">
        <v>9495.6149999999998</v>
      </c>
      <c r="AG71" s="313">
        <v>7844.4313836348947</v>
      </c>
      <c r="AH71" s="38"/>
      <c r="AJ71" s="90"/>
      <c r="AK71" s="49"/>
      <c r="AL71" s="49"/>
    </row>
    <row r="72" spans="1:38" x14ac:dyDescent="0.25">
      <c r="A72" s="22"/>
      <c r="B72" s="60" t="s">
        <v>13</v>
      </c>
      <c r="C72" s="55"/>
      <c r="D72" s="55"/>
      <c r="E72" s="55">
        <f>SUM(E60:E71)</f>
        <v>236079</v>
      </c>
      <c r="F72" s="55">
        <f>SUM(F60:F71)</f>
        <v>8821066</v>
      </c>
      <c r="G72" s="55">
        <f>SUM(G60:G71)</f>
        <v>5984056</v>
      </c>
      <c r="H72" s="55">
        <f>SUM(H60:H71)</f>
        <v>118023</v>
      </c>
      <c r="I72" s="55">
        <f>SUM(I60:I71)</f>
        <v>114289</v>
      </c>
      <c r="J72" s="55">
        <f t="shared" si="8"/>
        <v>15273513</v>
      </c>
      <c r="K72" s="55"/>
      <c r="L72" s="55"/>
      <c r="M72" s="55">
        <f>SUM(M60:M71)</f>
        <v>229755</v>
      </c>
      <c r="N72" s="51"/>
      <c r="O72" s="52"/>
      <c r="P72" s="114" t="s">
        <v>146</v>
      </c>
      <c r="Q72" s="53">
        <f>SUMPRODUCT(E15:E19,E60:E64)+SUMPRODUCT(E24:E26,E69:E71)</f>
        <v>76997.063999999998</v>
      </c>
      <c r="R72" s="47">
        <f>Q72/Q71</f>
        <v>0.48156573622950921</v>
      </c>
      <c r="S72" s="114" t="s">
        <v>177</v>
      </c>
      <c r="T72" s="53">
        <f>SUMPRODUCT(H15:H19,H60:H64)+SUMPRODUCT(H24:H26,H69:H71)</f>
        <v>48002.655500000001</v>
      </c>
      <c r="U72" s="48">
        <f>T72/T71</f>
        <v>0.56204591544018645</v>
      </c>
      <c r="W72" s="55">
        <f t="shared" ref="W72:AF72" si="13">SUM(W60:W71)</f>
        <v>6322995.4084249996</v>
      </c>
      <c r="X72" s="55">
        <f t="shared" si="13"/>
        <v>58372.370965800001</v>
      </c>
      <c r="Y72" s="55">
        <f t="shared" si="13"/>
        <v>6264623.0374591993</v>
      </c>
      <c r="Z72" s="55">
        <f t="shared" si="13"/>
        <v>16471071.3263715</v>
      </c>
      <c r="AA72" s="55">
        <f t="shared" si="13"/>
        <v>225161.18037678645</v>
      </c>
      <c r="AB72" s="55">
        <f t="shared" si="13"/>
        <v>8809189.7995927911</v>
      </c>
      <c r="AC72" s="55">
        <f t="shared" si="13"/>
        <v>5984115.1464145193</v>
      </c>
      <c r="AD72" s="55">
        <f t="shared" si="13"/>
        <v>6690022.0724145193</v>
      </c>
      <c r="AE72" s="325"/>
      <c r="AF72" s="55">
        <f t="shared" si="13"/>
        <v>114288.97100000001</v>
      </c>
      <c r="AG72" s="55">
        <f>SUM(AG60:AG71)</f>
        <v>118022.76422646637</v>
      </c>
      <c r="AH72" s="324"/>
      <c r="AJ72" s="406"/>
      <c r="AK72" s="407"/>
      <c r="AL72" s="407"/>
    </row>
    <row r="73" spans="1:38" x14ac:dyDescent="0.25">
      <c r="A73" s="22"/>
      <c r="B73" s="28"/>
      <c r="G73" s="50" t="s">
        <v>412</v>
      </c>
      <c r="K73" s="61"/>
      <c r="N73" s="51"/>
      <c r="O73" s="52"/>
      <c r="P73" s="114" t="s">
        <v>145</v>
      </c>
      <c r="Q73" s="53">
        <f>+Q71-Q72</f>
        <v>82891.936000000002</v>
      </c>
      <c r="R73" s="47"/>
      <c r="S73" s="114" t="s">
        <v>178</v>
      </c>
      <c r="T73" s="53">
        <f>+T71-T72</f>
        <v>37404.344499999999</v>
      </c>
      <c r="U73" s="48"/>
      <c r="AD73" s="303"/>
      <c r="AE73" s="304"/>
      <c r="AG73" s="303"/>
      <c r="AH73" s="304"/>
      <c r="AK73" s="55"/>
    </row>
    <row r="74" spans="1:38" ht="15.6" x14ac:dyDescent="0.3">
      <c r="A74" s="22"/>
      <c r="N74" s="46"/>
      <c r="O74" s="47"/>
      <c r="P74" s="47"/>
      <c r="Q74" s="47"/>
      <c r="R74" s="47"/>
      <c r="S74" s="47"/>
      <c r="T74" s="47"/>
      <c r="U74" s="48"/>
      <c r="V74" s="71" t="s">
        <v>181</v>
      </c>
      <c r="W74" s="13" t="s">
        <v>185</v>
      </c>
      <c r="X74" s="13" t="s">
        <v>184</v>
      </c>
      <c r="Y74" s="13" t="s">
        <v>182</v>
      </c>
      <c r="Z74" s="13" t="s">
        <v>183</v>
      </c>
      <c r="AB74" s="21" t="s">
        <v>317</v>
      </c>
      <c r="AC74" s="21" t="s">
        <v>318</v>
      </c>
      <c r="AE74" s="14"/>
      <c r="AK74" s="55" t="s">
        <v>256</v>
      </c>
    </row>
    <row r="75" spans="1:38" x14ac:dyDescent="0.25">
      <c r="A75" s="18" t="s">
        <v>37</v>
      </c>
      <c r="B75" s="16" t="s">
        <v>19</v>
      </c>
      <c r="G75" s="62" t="s">
        <v>32</v>
      </c>
      <c r="H75" s="16" t="s">
        <v>175</v>
      </c>
      <c r="N75" s="51"/>
      <c r="O75" s="52"/>
      <c r="P75" s="116" t="s">
        <v>149</v>
      </c>
      <c r="Q75" s="53">
        <f>+SUM(E65:E68)</f>
        <v>76190</v>
      </c>
      <c r="R75" s="44"/>
      <c r="S75" s="116" t="s">
        <v>149</v>
      </c>
      <c r="T75" s="53">
        <f>+SUM(H65:H68)</f>
        <v>32616</v>
      </c>
      <c r="U75" s="45"/>
      <c r="V75" s="55">
        <f t="shared" ref="V75:V86" si="14">W60-W75</f>
        <v>226530.3738246999</v>
      </c>
      <c r="W75" s="55">
        <f t="shared" ref="W75:W86" si="15">SUM(X75:Z75)</f>
        <v>336693.77829809999</v>
      </c>
      <c r="X75" s="299">
        <v>3943.3482992999998</v>
      </c>
      <c r="Y75" s="298">
        <v>329613.2807077</v>
      </c>
      <c r="Z75" s="298">
        <v>3137.1492911</v>
      </c>
      <c r="AA75" s="55"/>
      <c r="AB75" s="320">
        <f t="shared" ref="AB75:AB86" si="16">(V75*$AA$94+W75*$AA$95)/1000</f>
        <v>123.70569737934051</v>
      </c>
      <c r="AC75" s="320">
        <f t="shared" ref="AC75:AC86" si="17">(W60/1000)-AB75</f>
        <v>439.51845474345936</v>
      </c>
      <c r="AG75" s="55"/>
    </row>
    <row r="76" spans="1:38" s="63" customFormat="1" x14ac:dyDescent="0.25">
      <c r="A76" s="22"/>
      <c r="B76" s="17" t="s">
        <v>21</v>
      </c>
      <c r="G76" s="21"/>
      <c r="H76" s="128" t="s">
        <v>174</v>
      </c>
      <c r="N76" s="51"/>
      <c r="O76" s="52"/>
      <c r="P76" s="114" t="s">
        <v>146</v>
      </c>
      <c r="Q76" s="53">
        <f>+SUMPRODUCT(E20:E23,E65:E68)</f>
        <v>39621.756200000003</v>
      </c>
      <c r="R76" s="47">
        <f>Q76/Q75</f>
        <v>0.52003880036750239</v>
      </c>
      <c r="S76" s="132" t="s">
        <v>177</v>
      </c>
      <c r="T76" s="53">
        <f>+SUMPRODUCT(H20:H23,H65:H68)</f>
        <v>19198.993999999999</v>
      </c>
      <c r="U76" s="48">
        <f>T76/T75</f>
        <v>0.58863729457934755</v>
      </c>
      <c r="V76" s="55">
        <f t="shared" si="14"/>
        <v>224364.71409089997</v>
      </c>
      <c r="W76" s="55">
        <f t="shared" si="15"/>
        <v>332254.62355079997</v>
      </c>
      <c r="X76" s="299">
        <v>3905.4500030999998</v>
      </c>
      <c r="Y76" s="298">
        <v>325287.40141569998</v>
      </c>
      <c r="Z76" s="298">
        <v>3061.7721320000001</v>
      </c>
      <c r="AA76" s="55"/>
      <c r="AB76" s="320">
        <f t="shared" si="16"/>
        <v>122.17243678652056</v>
      </c>
      <c r="AC76" s="320">
        <f t="shared" si="17"/>
        <v>434.44690085517942</v>
      </c>
      <c r="AD76" s="13"/>
      <c r="AF76" s="63">
        <f>AA60/1000</f>
        <v>25.6075306299972</v>
      </c>
      <c r="AG76" s="63">
        <f>AB60/1000</f>
        <v>781.81644260680105</v>
      </c>
    </row>
    <row r="77" spans="1:38" x14ac:dyDescent="0.25">
      <c r="A77" s="22"/>
      <c r="C77" s="63"/>
      <c r="D77" s="26" t="s">
        <v>169</v>
      </c>
      <c r="E77" s="63"/>
      <c r="G77" s="26"/>
      <c r="N77" s="64"/>
      <c r="O77" s="65"/>
      <c r="P77" s="117" t="s">
        <v>145</v>
      </c>
      <c r="Q77" s="66">
        <f>Q75-Q76</f>
        <v>36568.243799999997</v>
      </c>
      <c r="R77" s="58"/>
      <c r="S77" s="133" t="s">
        <v>178</v>
      </c>
      <c r="T77" s="66">
        <f>T75-T76</f>
        <v>13417.006000000001</v>
      </c>
      <c r="U77" s="59"/>
      <c r="V77" s="55">
        <f t="shared" si="14"/>
        <v>222370.07065110002</v>
      </c>
      <c r="W77" s="55">
        <f t="shared" si="15"/>
        <v>328187.97910740005</v>
      </c>
      <c r="X77" s="299">
        <v>3868.7355381000002</v>
      </c>
      <c r="Y77" s="298">
        <v>321325.61404840002</v>
      </c>
      <c r="Z77" s="298">
        <v>2993.6295209</v>
      </c>
      <c r="AA77" s="55"/>
      <c r="AB77" s="320">
        <f t="shared" si="16"/>
        <v>120.76656376336058</v>
      </c>
      <c r="AC77" s="320">
        <f t="shared" si="17"/>
        <v>429.79148599513945</v>
      </c>
      <c r="AD77" s="55"/>
      <c r="AF77" s="63">
        <f t="shared" ref="AF77:AG87" si="18">AA61/1000</f>
        <v>26.346784850060899</v>
      </c>
      <c r="AG77" s="63">
        <f t="shared" si="18"/>
        <v>742.18540249827504</v>
      </c>
    </row>
    <row r="78" spans="1:38" x14ac:dyDescent="0.25">
      <c r="A78" s="22"/>
      <c r="C78" s="26" t="s">
        <v>14</v>
      </c>
      <c r="D78" s="26" t="s">
        <v>170</v>
      </c>
      <c r="E78" s="26" t="s">
        <v>15</v>
      </c>
      <c r="H78" s="26" t="s">
        <v>14</v>
      </c>
      <c r="I78" s="26" t="s">
        <v>15</v>
      </c>
      <c r="N78" s="46"/>
      <c r="O78" s="47"/>
      <c r="P78" s="47"/>
      <c r="Q78" s="47" t="s">
        <v>58</v>
      </c>
      <c r="R78" s="47"/>
      <c r="S78" s="47"/>
      <c r="T78" s="47"/>
      <c r="U78" s="48"/>
      <c r="V78" s="55">
        <f t="shared" si="14"/>
        <v>220101.94475259993</v>
      </c>
      <c r="W78" s="55">
        <f t="shared" si="15"/>
        <v>323608.46166849998</v>
      </c>
      <c r="X78" s="299">
        <v>3848.2726711</v>
      </c>
      <c r="Y78" s="298">
        <v>316843.45217980002</v>
      </c>
      <c r="Z78" s="298">
        <v>2916.7368176</v>
      </c>
      <c r="AA78" s="55"/>
      <c r="AB78" s="320">
        <f t="shared" si="16"/>
        <v>119.18077625121781</v>
      </c>
      <c r="AC78" s="320">
        <f t="shared" si="17"/>
        <v>424.52963016988213</v>
      </c>
      <c r="AF78" s="63">
        <f t="shared" si="18"/>
        <v>24.103669767501898</v>
      </c>
      <c r="AG78" s="63">
        <f t="shared" si="18"/>
        <v>669.62043207105694</v>
      </c>
    </row>
    <row r="79" spans="1:38" x14ac:dyDescent="0.25">
      <c r="A79" s="22"/>
      <c r="B79" s="28" t="s">
        <v>1</v>
      </c>
      <c r="C79" s="69">
        <v>50.45</v>
      </c>
      <c r="D79" s="326">
        <v>0.73177018623467571</v>
      </c>
      <c r="E79" s="183">
        <f t="shared" ref="E79:E90" si="19">ROUND(C79*D79,3)</f>
        <v>36.917999999999999</v>
      </c>
      <c r="H79" s="33">
        <v>0.95570566475129959</v>
      </c>
      <c r="I79" s="33">
        <v>0.94706312708175455</v>
      </c>
      <c r="N79" s="43"/>
      <c r="O79" s="44"/>
      <c r="P79" s="26"/>
      <c r="Q79" s="26" t="str">
        <f>+Q$13</f>
        <v>RT{1}</v>
      </c>
      <c r="R79" s="26"/>
      <c r="S79" s="26"/>
      <c r="T79" s="26" t="str">
        <f>+T$13</f>
        <v>GST</v>
      </c>
      <c r="U79" s="45"/>
      <c r="V79" s="55">
        <f t="shared" si="14"/>
        <v>217869.96367459995</v>
      </c>
      <c r="W79" s="55">
        <f t="shared" si="15"/>
        <v>319131.85629259999</v>
      </c>
      <c r="X79" s="299">
        <v>3840.7705142</v>
      </c>
      <c r="Y79" s="298">
        <v>312448.6062865</v>
      </c>
      <c r="Z79" s="298">
        <v>2842.4794919000001</v>
      </c>
      <c r="AA79" s="55"/>
      <c r="AB79" s="320">
        <f t="shared" si="16"/>
        <v>117.6288600636458</v>
      </c>
      <c r="AC79" s="320">
        <f t="shared" si="17"/>
        <v>419.37295990355415</v>
      </c>
      <c r="AF79" s="63">
        <f t="shared" si="18"/>
        <v>19.158762448837198</v>
      </c>
      <c r="AG79" s="63">
        <f t="shared" si="18"/>
        <v>581.35088578732496</v>
      </c>
    </row>
    <row r="80" spans="1:38" x14ac:dyDescent="0.25">
      <c r="A80" s="22"/>
      <c r="B80" s="28" t="s">
        <v>2</v>
      </c>
      <c r="C80" s="69">
        <v>47.55</v>
      </c>
      <c r="D80" s="111">
        <f>+$D$79</f>
        <v>0.73177018623467571</v>
      </c>
      <c r="E80" s="183">
        <f t="shared" si="19"/>
        <v>34.795999999999999</v>
      </c>
      <c r="H80" s="178">
        <f>H79</f>
        <v>0.95570566475129959</v>
      </c>
      <c r="I80" s="178">
        <f>I79</f>
        <v>0.94706312708175455</v>
      </c>
      <c r="N80" s="46"/>
      <c r="O80" s="47"/>
      <c r="P80" s="47"/>
      <c r="Q80" s="47"/>
      <c r="R80" s="47"/>
      <c r="S80" s="47"/>
      <c r="T80" s="47"/>
      <c r="U80" s="48"/>
      <c r="V80" s="55">
        <f t="shared" si="14"/>
        <v>215576.42238700006</v>
      </c>
      <c r="W80" s="55">
        <f t="shared" si="15"/>
        <v>314511.686552</v>
      </c>
      <c r="X80" s="299">
        <v>3810.3141402000001</v>
      </c>
      <c r="Y80" s="298">
        <v>307936.03267360001</v>
      </c>
      <c r="Z80" s="298">
        <v>2765.3397381999998</v>
      </c>
      <c r="AA80" s="55"/>
      <c r="AB80" s="320">
        <f t="shared" si="16"/>
        <v>116.02836681868131</v>
      </c>
      <c r="AC80" s="320">
        <f t="shared" si="17"/>
        <v>414.05974212031879</v>
      </c>
      <c r="AF80" s="63">
        <f t="shared" si="18"/>
        <v>14.357004079671901</v>
      </c>
      <c r="AG80" s="63">
        <f t="shared" si="18"/>
        <v>532.58949712002402</v>
      </c>
    </row>
    <row r="81" spans="1:33" x14ac:dyDescent="0.25">
      <c r="A81" s="22"/>
      <c r="B81" s="28" t="s">
        <v>3</v>
      </c>
      <c r="C81" s="69">
        <v>35.130000000000003</v>
      </c>
      <c r="D81" s="111">
        <f>+$D$79</f>
        <v>0.73177018623467571</v>
      </c>
      <c r="E81" s="183">
        <f t="shared" si="19"/>
        <v>25.707000000000001</v>
      </c>
      <c r="H81" s="178">
        <f>H79</f>
        <v>0.95570566475129959</v>
      </c>
      <c r="I81" s="178">
        <f>I79</f>
        <v>0.94706312708175455</v>
      </c>
      <c r="N81" s="51"/>
      <c r="O81" s="52"/>
      <c r="P81" s="115" t="s">
        <v>26</v>
      </c>
      <c r="Q81" s="53"/>
      <c r="R81" s="53"/>
      <c r="S81" s="115" t="s">
        <v>26</v>
      </c>
      <c r="T81" s="53"/>
      <c r="U81" s="54"/>
      <c r="V81" s="55">
        <f t="shared" si="14"/>
        <v>213401.7437922</v>
      </c>
      <c r="W81" s="55">
        <f t="shared" si="15"/>
        <v>310094.84301620006</v>
      </c>
      <c r="X81" s="299">
        <v>3761.9857619999998</v>
      </c>
      <c r="Y81" s="298">
        <v>303641.57100890001</v>
      </c>
      <c r="Z81" s="298">
        <v>2691.2862452999998</v>
      </c>
      <c r="AA81" s="55"/>
      <c r="AB81" s="320">
        <f t="shared" si="16"/>
        <v>114.50044293893659</v>
      </c>
      <c r="AC81" s="320">
        <f t="shared" si="17"/>
        <v>408.99614386946342</v>
      </c>
      <c r="AF81" s="63">
        <f t="shared" si="18"/>
        <v>14.922431655338899</v>
      </c>
      <c r="AG81" s="63">
        <f t="shared" si="18"/>
        <v>706.5150605626219</v>
      </c>
    </row>
    <row r="82" spans="1:33" x14ac:dyDescent="0.25">
      <c r="A82" s="22"/>
      <c r="B82" s="28" t="s">
        <v>4</v>
      </c>
      <c r="C82" s="69">
        <v>30.38</v>
      </c>
      <c r="D82" s="111">
        <f>+$D$79</f>
        <v>0.73177018623467571</v>
      </c>
      <c r="E82" s="183">
        <f t="shared" si="19"/>
        <v>22.231000000000002</v>
      </c>
      <c r="H82" s="178">
        <f>H79</f>
        <v>0.95570566475129959</v>
      </c>
      <c r="I82" s="178">
        <f>I79</f>
        <v>0.94706312708175455</v>
      </c>
      <c r="N82" s="51"/>
      <c r="O82" s="52"/>
      <c r="P82" s="114" t="s">
        <v>147</v>
      </c>
      <c r="Q82" s="53">
        <f>Q72-Q61</f>
        <v>21733.866500000004</v>
      </c>
      <c r="R82" s="47"/>
      <c r="S82" s="114" t="s">
        <v>147</v>
      </c>
      <c r="T82" s="53">
        <f>T72-T61</f>
        <v>10550.314600000005</v>
      </c>
      <c r="U82" s="48"/>
      <c r="V82" s="55">
        <f t="shared" si="14"/>
        <v>211185.00945269992</v>
      </c>
      <c r="W82" s="55">
        <f t="shared" si="15"/>
        <v>305585.12167590001</v>
      </c>
      <c r="X82" s="299">
        <v>3728.871619</v>
      </c>
      <c r="Y82" s="298">
        <v>299241.03719130001</v>
      </c>
      <c r="Z82" s="298">
        <v>2615.2128656</v>
      </c>
      <c r="AA82" s="55"/>
      <c r="AB82" s="320">
        <f t="shared" si="16"/>
        <v>112.94082706471116</v>
      </c>
      <c r="AC82" s="320">
        <f t="shared" si="17"/>
        <v>403.8293040638888</v>
      </c>
      <c r="AF82" s="63">
        <f t="shared" si="18"/>
        <v>18.314165137530402</v>
      </c>
      <c r="AG82" s="63">
        <f t="shared" si="18"/>
        <v>976.31195790555205</v>
      </c>
    </row>
    <row r="83" spans="1:33" x14ac:dyDescent="0.25">
      <c r="A83" s="22"/>
      <c r="B83" s="28" t="s">
        <v>5</v>
      </c>
      <c r="C83" s="69">
        <v>31.55</v>
      </c>
      <c r="D83" s="111">
        <f>+$D$79</f>
        <v>0.73177018623467571</v>
      </c>
      <c r="E83" s="183">
        <f t="shared" si="19"/>
        <v>23.087</v>
      </c>
      <c r="H83" s="178">
        <f>H79</f>
        <v>0.95570566475129959</v>
      </c>
      <c r="I83" s="178">
        <f>I79</f>
        <v>0.94706312708175455</v>
      </c>
      <c r="N83" s="51"/>
      <c r="O83" s="52"/>
      <c r="P83" s="114" t="s">
        <v>150</v>
      </c>
      <c r="Q83" s="141">
        <f>Q82*(E117-E118)</f>
        <v>242937.15362725587</v>
      </c>
      <c r="R83" s="47"/>
      <c r="S83" s="114" t="s">
        <v>150</v>
      </c>
      <c r="T83" s="141">
        <f>T82*(H117-H118)</f>
        <v>112848.46507213132</v>
      </c>
      <c r="U83" s="48"/>
      <c r="V83" s="55">
        <f t="shared" si="14"/>
        <v>208976.67812029994</v>
      </c>
      <c r="W83" s="55">
        <f t="shared" si="15"/>
        <v>301090.97489770001</v>
      </c>
      <c r="X83" s="299">
        <v>3702.85914</v>
      </c>
      <c r="Y83" s="298">
        <v>294848.89312620001</v>
      </c>
      <c r="Z83" s="298">
        <v>2539.2226314999998</v>
      </c>
      <c r="AA83" s="55"/>
      <c r="AB83" s="320">
        <f t="shared" si="16"/>
        <v>111.38668638259372</v>
      </c>
      <c r="AC83" s="320">
        <f t="shared" si="17"/>
        <v>398.68096663540621</v>
      </c>
      <c r="AF83" s="63">
        <f t="shared" si="18"/>
        <v>19.652175287622999</v>
      </c>
      <c r="AG83" s="63">
        <f t="shared" si="18"/>
        <v>1079.6195723389499</v>
      </c>
    </row>
    <row r="84" spans="1:33" x14ac:dyDescent="0.25">
      <c r="A84" s="22"/>
      <c r="B84" s="28" t="s">
        <v>6</v>
      </c>
      <c r="C84" s="408">
        <v>33.549999999999997</v>
      </c>
      <c r="D84" s="327">
        <v>0.63277854259404198</v>
      </c>
      <c r="E84" s="184">
        <f t="shared" si="19"/>
        <v>21.23</v>
      </c>
      <c r="H84" s="129">
        <v>0.92530043735313783</v>
      </c>
      <c r="I84" s="130">
        <v>0.86302862739805031</v>
      </c>
      <c r="N84" s="46"/>
      <c r="O84" s="47"/>
      <c r="P84" s="47"/>
      <c r="Q84" s="68"/>
      <c r="R84" s="47"/>
      <c r="S84" s="47"/>
      <c r="T84" s="68"/>
      <c r="U84" s="48"/>
      <c r="V84" s="55">
        <f t="shared" si="14"/>
        <v>206867.17113490001</v>
      </c>
      <c r="W84" s="55">
        <f t="shared" si="15"/>
        <v>296797.69071500003</v>
      </c>
      <c r="X84" s="299">
        <v>3702.9013255999998</v>
      </c>
      <c r="Y84" s="298">
        <v>290628.16566230002</v>
      </c>
      <c r="Z84" s="298">
        <v>2466.6237271</v>
      </c>
      <c r="AA84" s="55"/>
      <c r="AB84" s="320">
        <f t="shared" si="16"/>
        <v>109.90202171187569</v>
      </c>
      <c r="AC84" s="320">
        <f t="shared" si="17"/>
        <v>393.76284013802433</v>
      </c>
      <c r="AF84" s="63">
        <f t="shared" si="18"/>
        <v>16.628532807311601</v>
      </c>
      <c r="AG84" s="63">
        <f t="shared" si="18"/>
        <v>901.07570826971198</v>
      </c>
    </row>
    <row r="85" spans="1:33" x14ac:dyDescent="0.25">
      <c r="A85" s="22"/>
      <c r="B85" s="28" t="s">
        <v>7</v>
      </c>
      <c r="C85" s="409">
        <v>41.74</v>
      </c>
      <c r="D85" s="226">
        <f>+$D$84</f>
        <v>0.63277854259404198</v>
      </c>
      <c r="E85" s="185">
        <f t="shared" si="19"/>
        <v>26.411999999999999</v>
      </c>
      <c r="H85" s="176">
        <f t="shared" ref="H85:I87" si="20">H84</f>
        <v>0.92530043735313783</v>
      </c>
      <c r="I85" s="179">
        <f t="shared" si="20"/>
        <v>0.86302862739805031</v>
      </c>
      <c r="N85" s="51"/>
      <c r="O85" s="52"/>
      <c r="P85" s="116" t="s">
        <v>25</v>
      </c>
      <c r="Q85" s="68"/>
      <c r="R85" s="44"/>
      <c r="S85" s="116" t="s">
        <v>25</v>
      </c>
      <c r="T85" s="68"/>
      <c r="U85" s="45"/>
      <c r="V85" s="55">
        <f t="shared" si="14"/>
        <v>204710.69834449998</v>
      </c>
      <c r="W85" s="55">
        <f t="shared" si="15"/>
        <v>292376.20392679994</v>
      </c>
      <c r="X85" s="299">
        <v>3675.0488067000001</v>
      </c>
      <c r="Y85" s="298">
        <v>286309.89390169998</v>
      </c>
      <c r="Z85" s="298">
        <v>2391.2612184</v>
      </c>
      <c r="AA85" s="55"/>
      <c r="AB85" s="320">
        <f t="shared" si="16"/>
        <v>108.37493110514511</v>
      </c>
      <c r="AC85" s="320">
        <f t="shared" si="17"/>
        <v>388.7119711661548</v>
      </c>
      <c r="AF85" s="63">
        <f t="shared" si="18"/>
        <v>12.812072040655401</v>
      </c>
      <c r="AG85" s="63">
        <f t="shared" si="18"/>
        <v>615.74877924449697</v>
      </c>
    </row>
    <row r="86" spans="1:33" x14ac:dyDescent="0.25">
      <c r="A86" s="22"/>
      <c r="B86" s="28" t="s">
        <v>8</v>
      </c>
      <c r="C86" s="409">
        <v>37.880000000000003</v>
      </c>
      <c r="D86" s="226">
        <f>+$D$84</f>
        <v>0.63277854259404198</v>
      </c>
      <c r="E86" s="185">
        <f t="shared" si="19"/>
        <v>23.97</v>
      </c>
      <c r="H86" s="176">
        <f t="shared" si="20"/>
        <v>0.92530043735313783</v>
      </c>
      <c r="I86" s="179">
        <f t="shared" si="20"/>
        <v>0.86302862739805031</v>
      </c>
      <c r="N86" s="51"/>
      <c r="O86" s="52"/>
      <c r="P86" s="114" t="s">
        <v>147</v>
      </c>
      <c r="Q86" s="53">
        <f>Q76-Q65</f>
        <v>9334.9582000000009</v>
      </c>
      <c r="R86" s="47"/>
      <c r="S86" s="114" t="s">
        <v>147</v>
      </c>
      <c r="T86" s="53">
        <f>T76-T65</f>
        <v>3998.0678999999982</v>
      </c>
      <c r="U86" s="48"/>
      <c r="V86" s="55">
        <f t="shared" si="14"/>
        <v>202624.53543850005</v>
      </c>
      <c r="W86" s="55">
        <f t="shared" si="15"/>
        <v>288082.86306</v>
      </c>
      <c r="X86" s="323">
        <v>3625.2420895</v>
      </c>
      <c r="Y86" s="319">
        <v>282139.33959350002</v>
      </c>
      <c r="Z86" s="319">
        <v>2318.2813769999998</v>
      </c>
      <c r="AA86" s="55"/>
      <c r="AB86" s="320">
        <f t="shared" si="16"/>
        <v>106.89302920520146</v>
      </c>
      <c r="AC86" s="320">
        <f t="shared" si="17"/>
        <v>383.81436929329863</v>
      </c>
      <c r="AF86" s="63">
        <f>AA70/1000</f>
        <v>14.210738470762301</v>
      </c>
      <c r="AG86" s="63">
        <f>AB70/1000</f>
        <v>566.40532324776598</v>
      </c>
    </row>
    <row r="87" spans="1:33" x14ac:dyDescent="0.25">
      <c r="A87" s="22"/>
      <c r="B87" s="28" t="s">
        <v>9</v>
      </c>
      <c r="C87" s="410">
        <v>32.119999999999997</v>
      </c>
      <c r="D87" s="227">
        <f>+$D$84</f>
        <v>0.63277854259404198</v>
      </c>
      <c r="E87" s="186">
        <f t="shared" si="19"/>
        <v>20.324999999999999</v>
      </c>
      <c r="H87" s="177">
        <f t="shared" si="20"/>
        <v>0.92530043735313783</v>
      </c>
      <c r="I87" s="180">
        <f t="shared" si="20"/>
        <v>0.86302862739805031</v>
      </c>
      <c r="N87" s="64"/>
      <c r="O87" s="65"/>
      <c r="P87" s="117" t="s">
        <v>150</v>
      </c>
      <c r="Q87" s="142">
        <f>Q86*(E113-E114)</f>
        <v>145395.30137325299</v>
      </c>
      <c r="R87" s="58"/>
      <c r="S87" s="117" t="s">
        <v>150</v>
      </c>
      <c r="T87" s="142">
        <f>T86*(H113-H114)</f>
        <v>62228.561906020979</v>
      </c>
      <c r="U87" s="59"/>
      <c r="V87" s="55">
        <f>SUM(V75:V86)</f>
        <v>2574579.3256639992</v>
      </c>
      <c r="W87" s="55">
        <f>SUM(W75:W86)</f>
        <v>3748416.0827609999</v>
      </c>
      <c r="X87" s="55">
        <f>SUM(X75:X86)</f>
        <v>45413.7999088</v>
      </c>
      <c r="Y87" s="55">
        <f>SUM(Y75:Y86)</f>
        <v>3670263.2877956005</v>
      </c>
      <c r="Z87" s="55">
        <f>SUM(Z75:Z86)</f>
        <v>32738.995056599993</v>
      </c>
      <c r="AA87" s="55"/>
      <c r="AB87" s="55">
        <f>SUM(AB75:AB86)</f>
        <v>1383.4806394712302</v>
      </c>
      <c r="AC87" s="55">
        <f>SUM(AC75:AC86)</f>
        <v>4939.5147689537698</v>
      </c>
      <c r="AF87" s="63">
        <f t="shared" si="18"/>
        <v>19.0473132014958</v>
      </c>
      <c r="AG87" s="63">
        <f t="shared" si="18"/>
        <v>655.95073794021107</v>
      </c>
    </row>
    <row r="88" spans="1:33" x14ac:dyDescent="0.25">
      <c r="A88" s="22"/>
      <c r="B88" s="28" t="s">
        <v>10</v>
      </c>
      <c r="C88" s="69">
        <v>31</v>
      </c>
      <c r="D88" s="111">
        <f>+$D$79</f>
        <v>0.73177018623467571</v>
      </c>
      <c r="E88" s="183">
        <f t="shared" si="19"/>
        <v>22.684999999999999</v>
      </c>
      <c r="H88" s="178">
        <f>H79</f>
        <v>0.95570566475129959</v>
      </c>
      <c r="I88" s="178">
        <f>I79</f>
        <v>0.94706312708175455</v>
      </c>
    </row>
    <row r="89" spans="1:33" x14ac:dyDescent="0.25">
      <c r="A89" s="22"/>
      <c r="B89" s="28" t="s">
        <v>11</v>
      </c>
      <c r="C89" s="69">
        <v>30.88</v>
      </c>
      <c r="D89" s="111">
        <f>+$D$79</f>
        <v>0.73177018623467571</v>
      </c>
      <c r="E89" s="183">
        <f t="shared" si="19"/>
        <v>22.597000000000001</v>
      </c>
      <c r="H89" s="178">
        <f>H79</f>
        <v>0.95570566475129959</v>
      </c>
      <c r="I89" s="178">
        <f>I79</f>
        <v>0.94706312708175455</v>
      </c>
    </row>
    <row r="90" spans="1:33" x14ac:dyDescent="0.25">
      <c r="A90" s="22"/>
      <c r="B90" s="28" t="s">
        <v>12</v>
      </c>
      <c r="C90" s="69">
        <v>33.9</v>
      </c>
      <c r="D90" s="111">
        <f>+$D$79</f>
        <v>0.73177018623467571</v>
      </c>
      <c r="E90" s="183">
        <f t="shared" si="19"/>
        <v>24.806999999999999</v>
      </c>
      <c r="G90" s="70"/>
      <c r="H90" s="178">
        <f>H79</f>
        <v>0.95570566475129959</v>
      </c>
      <c r="I90" s="178">
        <f>I79</f>
        <v>0.94706312708175455</v>
      </c>
    </row>
    <row r="91" spans="1:33" x14ac:dyDescent="0.25">
      <c r="A91" s="22"/>
      <c r="B91" s="28"/>
      <c r="C91" s="69"/>
      <c r="D91" s="69"/>
      <c r="G91" s="70"/>
      <c r="L91" s="70"/>
      <c r="X91" s="13" t="s">
        <v>210</v>
      </c>
    </row>
    <row r="92" spans="1:33" x14ac:dyDescent="0.25">
      <c r="A92" s="18" t="s">
        <v>33</v>
      </c>
      <c r="B92" s="37" t="s">
        <v>22</v>
      </c>
      <c r="C92" s="26"/>
      <c r="D92" s="26"/>
      <c r="E92" s="26" t="str">
        <f>+E$13</f>
        <v>RT{1}</v>
      </c>
      <c r="F92" s="26" t="str">
        <f>+F$13</f>
        <v>RS{2}</v>
      </c>
      <c r="G92" s="26" t="str">
        <f>+G$13</f>
        <v>GS{3}</v>
      </c>
      <c r="H92" s="26" t="str">
        <f>+H$58</f>
        <v>GST {4}</v>
      </c>
      <c r="I92" s="26" t="str">
        <f>+I$13</f>
        <v>OL/SL</v>
      </c>
      <c r="J92" s="26"/>
      <c r="K92" s="26"/>
      <c r="L92" s="26"/>
      <c r="M92" s="26"/>
      <c r="P92" s="275">
        <v>2017</v>
      </c>
      <c r="Q92" s="13" t="s">
        <v>215</v>
      </c>
      <c r="R92" s="13" t="s">
        <v>216</v>
      </c>
      <c r="S92" s="13" t="s">
        <v>217</v>
      </c>
      <c r="X92" s="13" t="s">
        <v>205</v>
      </c>
      <c r="Y92" s="71" t="s">
        <v>13</v>
      </c>
      <c r="Z92" s="71" t="s">
        <v>13</v>
      </c>
      <c r="AA92" s="71" t="s">
        <v>207</v>
      </c>
    </row>
    <row r="93" spans="1:33" x14ac:dyDescent="0.25">
      <c r="A93" s="22"/>
      <c r="C93" s="71"/>
      <c r="D93" s="71"/>
      <c r="E93" s="71"/>
      <c r="F93" s="71"/>
      <c r="P93" s="13" t="s">
        <v>0</v>
      </c>
      <c r="Q93" s="204">
        <v>1789680933.5025969</v>
      </c>
      <c r="R93" s="204">
        <v>1637686668</v>
      </c>
      <c r="S93" s="50">
        <f>SUM(Q93:R93)</f>
        <v>3427367601.5025969</v>
      </c>
      <c r="X93" s="134" t="s">
        <v>206</v>
      </c>
      <c r="Y93" s="38" t="s">
        <v>207</v>
      </c>
      <c r="Z93" s="38" t="s">
        <v>208</v>
      </c>
      <c r="AA93" s="38" t="s">
        <v>209</v>
      </c>
    </row>
    <row r="94" spans="1:33" x14ac:dyDescent="0.25">
      <c r="A94" s="22"/>
      <c r="B94" s="28" t="s">
        <v>299</v>
      </c>
      <c r="C94" s="72"/>
      <c r="D94" s="72"/>
      <c r="E94" s="155">
        <v>0.105545</v>
      </c>
      <c r="F94" s="155">
        <v>0.105545</v>
      </c>
      <c r="G94" s="155">
        <v>0.105545</v>
      </c>
      <c r="H94" s="155">
        <v>0.105545</v>
      </c>
      <c r="I94" s="155">
        <v>0.105545</v>
      </c>
      <c r="J94" s="72"/>
      <c r="K94" s="72"/>
      <c r="L94" s="72"/>
      <c r="M94" s="72"/>
      <c r="P94" s="13" t="s">
        <v>254</v>
      </c>
      <c r="Q94" s="204">
        <v>147968939.5742428</v>
      </c>
      <c r="R94" s="204">
        <v>88185758</v>
      </c>
      <c r="S94" s="50">
        <f>SUM(Q94:R94)</f>
        <v>236154697.5742428</v>
      </c>
      <c r="W94" s="13" t="s">
        <v>181</v>
      </c>
      <c r="X94" s="13">
        <v>4</v>
      </c>
      <c r="Y94" s="13">
        <f>X94*365*5/7</f>
        <v>1042.8571428571429</v>
      </c>
      <c r="Z94" s="13">
        <f>365*24</f>
        <v>8760</v>
      </c>
      <c r="AA94" s="13">
        <f>Y94/Z94</f>
        <v>0.11904761904761905</v>
      </c>
    </row>
    <row r="95" spans="1:33" x14ac:dyDescent="0.25">
      <c r="A95" s="22"/>
      <c r="B95" s="13" t="s">
        <v>300</v>
      </c>
      <c r="C95" s="73"/>
      <c r="D95" s="73"/>
      <c r="E95" s="73">
        <f>1/(1-E94)</f>
        <v>1.1179992285805322</v>
      </c>
      <c r="F95" s="73">
        <f>1/(1-F94)</f>
        <v>1.1179992285805322</v>
      </c>
      <c r="G95" s="73">
        <f>1/(1-G94)</f>
        <v>1.1179992285805322</v>
      </c>
      <c r="H95" s="73">
        <f>1/(1-H94)</f>
        <v>1.1179992285805322</v>
      </c>
      <c r="I95" s="73">
        <f>1/(1-I94)</f>
        <v>1.1179992285805322</v>
      </c>
      <c r="J95" s="73"/>
      <c r="K95" s="73"/>
      <c r="L95" s="73"/>
      <c r="M95" s="73"/>
      <c r="P95" s="13" t="s">
        <v>255</v>
      </c>
      <c r="Q95" s="50">
        <f>SUM(Q93:Q94)</f>
        <v>1937649873.0768397</v>
      </c>
      <c r="R95" s="50">
        <f>SUM(R93:R94)</f>
        <v>1725872426</v>
      </c>
      <c r="S95" s="50">
        <f>SUM(S93:S94)</f>
        <v>3663522299.0768394</v>
      </c>
      <c r="T95" s="55">
        <f>SUM(F65:F68)</f>
        <v>3663523</v>
      </c>
      <c r="W95" s="13" t="s">
        <v>204</v>
      </c>
      <c r="X95" s="13">
        <f>(9*18+10*34)/52</f>
        <v>9.6538461538461533</v>
      </c>
      <c r="Y95" s="13">
        <f>X95*365*5/7</f>
        <v>2516.8956043956036</v>
      </c>
      <c r="Z95" s="13">
        <f>365*24</f>
        <v>8760</v>
      </c>
      <c r="AA95" s="13">
        <f>Y95/Z95</f>
        <v>0.28731684981684974</v>
      </c>
    </row>
    <row r="96" spans="1:33" x14ac:dyDescent="0.25">
      <c r="A96" s="22"/>
      <c r="C96" s="73"/>
      <c r="D96" s="73"/>
      <c r="E96" s="73"/>
      <c r="F96" s="73"/>
      <c r="G96" s="73"/>
      <c r="H96" s="73"/>
      <c r="I96" s="73"/>
      <c r="J96" s="73" t="s">
        <v>256</v>
      </c>
      <c r="K96" s="73"/>
      <c r="L96" s="73"/>
      <c r="M96" s="73" t="s">
        <v>256</v>
      </c>
      <c r="Q96" s="50"/>
      <c r="R96" s="50"/>
      <c r="S96" s="50"/>
      <c r="T96" s="55"/>
    </row>
    <row r="97" spans="1:29" x14ac:dyDescent="0.25">
      <c r="A97" s="22"/>
      <c r="B97" s="242" t="s">
        <v>301</v>
      </c>
      <c r="C97" s="247"/>
      <c r="D97" s="247"/>
      <c r="E97" s="251">
        <f>ROUND(1-1/E98,6)</f>
        <v>9.9324999999999997E-2</v>
      </c>
      <c r="F97" s="251">
        <f>ROUND(1-1/F98,6)</f>
        <v>9.9324999999999997E-2</v>
      </c>
      <c r="G97" s="251">
        <f>ROUND(1-1/G98,6)</f>
        <v>9.9324999999999997E-2</v>
      </c>
      <c r="H97" s="251">
        <f>ROUND(1-1/H98,6)</f>
        <v>9.9324999999999997E-2</v>
      </c>
      <c r="I97" s="251">
        <f>ROUND(1-1/I98,6)</f>
        <v>9.9324999999999997E-2</v>
      </c>
      <c r="Q97" s="50"/>
      <c r="R97" s="50"/>
      <c r="S97" s="50"/>
      <c r="T97" s="55"/>
    </row>
    <row r="98" spans="1:29" x14ac:dyDescent="0.25">
      <c r="A98" s="22"/>
      <c r="B98" s="242" t="s">
        <v>302</v>
      </c>
      <c r="C98" s="247"/>
      <c r="D98" s="247"/>
      <c r="E98" s="247">
        <v>1.1102789567315661</v>
      </c>
      <c r="F98" s="247">
        <v>1.1102789567315661</v>
      </c>
      <c r="G98" s="247">
        <v>1.1102789567315661</v>
      </c>
      <c r="H98" s="247">
        <v>1.1102789567315661</v>
      </c>
      <c r="I98" s="247">
        <v>1.1102789567315661</v>
      </c>
      <c r="M98" s="47"/>
      <c r="N98" s="47"/>
      <c r="O98" s="47"/>
      <c r="P98" s="47"/>
      <c r="Q98" s="159"/>
      <c r="R98" s="159"/>
      <c r="S98" s="159"/>
      <c r="T98" s="53"/>
      <c r="U98" s="47"/>
      <c r="V98" s="47"/>
      <c r="W98" s="47"/>
      <c r="X98" s="47"/>
      <c r="Y98" s="47"/>
      <c r="Z98" s="47"/>
      <c r="AA98" s="47"/>
      <c r="AB98" s="47"/>
      <c r="AC98" s="47"/>
    </row>
    <row r="99" spans="1:29" x14ac:dyDescent="0.25">
      <c r="A99" s="22"/>
      <c r="C99" s="73"/>
      <c r="D99" s="73"/>
      <c r="E99" s="89"/>
      <c r="F99" s="270"/>
      <c r="G99" s="73"/>
      <c r="H99" s="73"/>
      <c r="I99" s="73"/>
      <c r="J99" s="73"/>
      <c r="K99" s="73"/>
      <c r="L99" s="73"/>
      <c r="M99" s="47"/>
      <c r="N99" s="47"/>
      <c r="O99" s="47"/>
      <c r="P99" s="47"/>
      <c r="Q99" s="159"/>
      <c r="R99" s="159"/>
      <c r="S99" s="159"/>
      <c r="T99" s="53"/>
      <c r="U99" s="47"/>
      <c r="V99" s="47"/>
      <c r="W99" s="47"/>
      <c r="X99" s="47"/>
      <c r="Y99" s="47"/>
      <c r="Z99" s="47"/>
      <c r="AA99" s="47"/>
      <c r="AB99" s="47"/>
      <c r="AC99" s="47"/>
    </row>
    <row r="100" spans="1:29" x14ac:dyDescent="0.25">
      <c r="A100" s="22"/>
      <c r="C100" s="73"/>
      <c r="D100" s="73"/>
      <c r="E100" s="271"/>
      <c r="F100" s="272"/>
      <c r="G100" s="73"/>
      <c r="H100" s="73"/>
      <c r="I100" s="73"/>
      <c r="J100" s="73"/>
      <c r="K100" s="73"/>
      <c r="L100" s="269"/>
      <c r="M100" s="47"/>
      <c r="N100" s="47"/>
      <c r="O100" s="47"/>
      <c r="P100" s="47"/>
      <c r="Q100" s="47"/>
      <c r="R100" s="47"/>
      <c r="S100" s="47"/>
      <c r="T100" s="475"/>
      <c r="U100" s="47"/>
      <c r="V100" s="47"/>
      <c r="W100" s="47"/>
      <c r="X100" s="47"/>
      <c r="Y100" s="47"/>
      <c r="Z100" s="47"/>
      <c r="AA100" s="47"/>
      <c r="AB100" s="47"/>
      <c r="AC100" s="47"/>
    </row>
    <row r="101" spans="1:29" x14ac:dyDescent="0.25">
      <c r="A101" s="22"/>
      <c r="B101" s="36" t="s">
        <v>315</v>
      </c>
      <c r="C101" s="73"/>
      <c r="D101" s="73"/>
      <c r="E101" s="73"/>
      <c r="F101" s="73"/>
      <c r="G101" s="73"/>
      <c r="H101" s="73"/>
      <c r="I101" s="73"/>
      <c r="J101" s="270"/>
      <c r="K101" s="270"/>
      <c r="L101" s="256"/>
      <c r="M101" s="47"/>
      <c r="N101" s="47"/>
      <c r="O101" s="47"/>
      <c r="P101" s="47"/>
      <c r="Q101" s="47"/>
      <c r="R101" s="47"/>
      <c r="S101" s="47"/>
      <c r="T101" s="47"/>
      <c r="U101" s="47"/>
      <c r="V101" s="47"/>
      <c r="W101" s="47"/>
      <c r="X101" s="47"/>
      <c r="Y101" s="47"/>
      <c r="Z101" s="47"/>
      <c r="AA101" s="47"/>
      <c r="AB101" s="47"/>
      <c r="AC101" s="47"/>
    </row>
    <row r="102" spans="1:29" x14ac:dyDescent="0.25">
      <c r="A102" s="22"/>
      <c r="B102" s="13" t="s">
        <v>256</v>
      </c>
      <c r="I102" s="73"/>
      <c r="J102" s="270"/>
      <c r="K102" s="270"/>
      <c r="L102" s="73"/>
      <c r="M102" s="47"/>
      <c r="N102" s="47"/>
      <c r="O102" s="47"/>
      <c r="P102" s="47"/>
      <c r="Q102" s="47"/>
      <c r="R102" s="47"/>
      <c r="S102" s="47"/>
      <c r="T102" s="47"/>
      <c r="U102" s="47"/>
      <c r="V102" s="47"/>
      <c r="W102" s="47"/>
      <c r="X102" s="47"/>
      <c r="Y102" s="47"/>
      <c r="Z102" s="47"/>
      <c r="AA102" s="47"/>
      <c r="AB102" s="47"/>
      <c r="AC102" s="47"/>
    </row>
    <row r="103" spans="1:29" ht="15.6" x14ac:dyDescent="0.3">
      <c r="A103" s="22"/>
      <c r="B103" s="534" t="str">
        <f>$B$1</f>
        <v xml:space="preserve">Jersey Central Power &amp; Light </v>
      </c>
      <c r="C103" s="534"/>
      <c r="D103" s="534"/>
      <c r="E103" s="534"/>
      <c r="F103" s="534"/>
      <c r="G103" s="534"/>
      <c r="H103" s="534"/>
      <c r="I103" s="534"/>
      <c r="J103" s="534"/>
      <c r="K103" s="534"/>
      <c r="L103" s="534"/>
      <c r="M103" s="47"/>
      <c r="N103" s="47"/>
      <c r="O103" s="47"/>
      <c r="P103" s="47"/>
      <c r="Q103" s="47"/>
      <c r="R103" s="47"/>
      <c r="S103" s="47"/>
      <c r="T103" s="47"/>
      <c r="U103" s="47"/>
      <c r="V103" s="47"/>
      <c r="W103" s="47"/>
      <c r="X103" s="47"/>
      <c r="Y103" s="47"/>
      <c r="Z103" s="47"/>
      <c r="AA103" s="47"/>
      <c r="AB103" s="47"/>
      <c r="AC103" s="47"/>
    </row>
    <row r="104" spans="1:29" ht="15.6" x14ac:dyDescent="0.3">
      <c r="A104" s="22"/>
      <c r="B104" s="534" t="str">
        <f>$B$2</f>
        <v>Attachment 2</v>
      </c>
      <c r="C104" s="534"/>
      <c r="D104" s="534"/>
      <c r="E104" s="534"/>
      <c r="F104" s="534"/>
      <c r="G104" s="534"/>
      <c r="H104" s="534"/>
      <c r="I104" s="534"/>
      <c r="J104" s="534"/>
      <c r="K104" s="534"/>
      <c r="L104" s="534"/>
      <c r="M104" s="47"/>
      <c r="N104" s="47"/>
      <c r="O104" s="47"/>
      <c r="P104" s="47"/>
      <c r="Q104" s="47"/>
      <c r="R104" s="47"/>
      <c r="S104" s="47"/>
      <c r="T104" s="47"/>
      <c r="U104" s="47"/>
      <c r="V104" s="47"/>
      <c r="W104" s="47"/>
      <c r="X104" s="47"/>
      <c r="Y104" s="47"/>
      <c r="Z104" s="47"/>
      <c r="AA104" s="47"/>
      <c r="AB104" s="47"/>
      <c r="AC104" s="47"/>
    </row>
    <row r="105" spans="1:29" x14ac:dyDescent="0.25">
      <c r="A105" s="22"/>
      <c r="M105" s="47"/>
      <c r="N105" s="47"/>
      <c r="O105" s="47"/>
      <c r="P105" s="47"/>
      <c r="Q105" s="47"/>
      <c r="R105" s="47"/>
      <c r="S105" s="47"/>
      <c r="T105" s="47"/>
      <c r="U105" s="47"/>
      <c r="V105" s="47"/>
      <c r="W105" s="47"/>
      <c r="X105" s="47"/>
      <c r="Y105" s="47"/>
      <c r="Z105" s="47"/>
      <c r="AA105" s="47"/>
      <c r="AB105" s="47"/>
      <c r="AC105" s="47"/>
    </row>
    <row r="106" spans="1:29" x14ac:dyDescent="0.25">
      <c r="A106" s="22"/>
      <c r="M106" s="47"/>
      <c r="N106" s="47"/>
      <c r="O106" s="47"/>
      <c r="P106" s="47"/>
      <c r="Q106" s="47"/>
      <c r="R106" s="47"/>
      <c r="S106" s="47"/>
      <c r="T106" s="47"/>
      <c r="U106" s="47"/>
      <c r="V106" s="47"/>
      <c r="W106" s="47"/>
      <c r="X106" s="47"/>
      <c r="Y106" s="47"/>
      <c r="Z106" s="47"/>
      <c r="AA106" s="47"/>
      <c r="AB106" s="47"/>
      <c r="AC106" s="47"/>
    </row>
    <row r="107" spans="1:29" x14ac:dyDescent="0.25">
      <c r="A107" s="18" t="s">
        <v>34</v>
      </c>
      <c r="B107" s="16" t="s">
        <v>51</v>
      </c>
      <c r="M107" s="47"/>
      <c r="N107" s="47"/>
      <c r="O107" s="47"/>
      <c r="P107" s="47"/>
      <c r="Q107" s="47"/>
      <c r="R107" s="47"/>
      <c r="S107" s="47"/>
      <c r="T107" s="47"/>
      <c r="U107" s="47"/>
      <c r="V107" s="47"/>
      <c r="W107" s="47"/>
      <c r="X107" s="47"/>
      <c r="Y107" s="47"/>
      <c r="Z107" s="47"/>
      <c r="AA107" s="47"/>
      <c r="AB107" s="47"/>
      <c r="AC107" s="47"/>
    </row>
    <row r="108" spans="1:29" x14ac:dyDescent="0.25">
      <c r="A108" s="22"/>
      <c r="B108" s="17" t="s">
        <v>171</v>
      </c>
      <c r="M108" s="47"/>
      <c r="N108" s="47"/>
      <c r="O108" s="47"/>
      <c r="P108" s="47"/>
      <c r="Q108" s="47"/>
      <c r="R108" s="47"/>
      <c r="S108" s="514"/>
      <c r="T108" s="47"/>
      <c r="U108" s="47"/>
      <c r="V108" s="47"/>
      <c r="W108" s="47"/>
      <c r="X108" s="47"/>
      <c r="Y108" s="47"/>
      <c r="Z108" s="47"/>
      <c r="AA108" s="47"/>
      <c r="AB108" s="47"/>
      <c r="AC108" s="47"/>
    </row>
    <row r="109" spans="1:29" x14ac:dyDescent="0.25">
      <c r="A109" s="22"/>
      <c r="B109" s="17" t="s">
        <v>21</v>
      </c>
      <c r="M109" s="47"/>
      <c r="N109" s="47"/>
      <c r="O109" s="47"/>
      <c r="P109" s="47"/>
      <c r="Q109" s="47"/>
      <c r="R109" s="47"/>
      <c r="S109" s="484"/>
      <c r="T109" s="47"/>
      <c r="U109" s="47"/>
      <c r="V109" s="47"/>
      <c r="W109" s="47"/>
      <c r="X109" s="47"/>
      <c r="Y109" s="47"/>
      <c r="Z109" s="47"/>
      <c r="AA109" s="47"/>
      <c r="AB109" s="47"/>
      <c r="AC109" s="514"/>
    </row>
    <row r="110" spans="1:29" x14ac:dyDescent="0.25">
      <c r="A110" s="22"/>
      <c r="B110" s="16"/>
      <c r="C110" s="26"/>
      <c r="D110" s="26"/>
      <c r="E110" s="26" t="str">
        <f>+E$13</f>
        <v>RT{1}</v>
      </c>
      <c r="F110" s="26" t="str">
        <f>+F$13</f>
        <v>RS{2}</v>
      </c>
      <c r="G110" s="26" t="str">
        <f>+G$13</f>
        <v>GS{3}</v>
      </c>
      <c r="H110" s="26" t="str">
        <f>+H$58</f>
        <v>GST {4}</v>
      </c>
      <c r="I110" s="26" t="str">
        <f>+I$13</f>
        <v>OL/SL</v>
      </c>
      <c r="J110" s="26"/>
      <c r="K110" s="26"/>
      <c r="L110" s="26"/>
      <c r="M110" s="44"/>
      <c r="N110" s="515"/>
      <c r="O110" s="47"/>
      <c r="P110" s="132"/>
      <c r="Q110" s="47"/>
      <c r="R110" s="47"/>
      <c r="S110" s="47"/>
      <c r="T110" s="47"/>
      <c r="U110" s="47"/>
      <c r="V110" s="47"/>
      <c r="W110" s="516"/>
      <c r="X110" s="47"/>
      <c r="Y110" s="47"/>
      <c r="Z110" s="47"/>
      <c r="AA110" s="47"/>
      <c r="AB110" s="47"/>
      <c r="AC110" s="522"/>
    </row>
    <row r="111" spans="1:29" x14ac:dyDescent="0.25">
      <c r="A111" s="22"/>
      <c r="M111" s="47"/>
      <c r="N111" s="47"/>
      <c r="O111" s="47"/>
      <c r="P111" s="47"/>
      <c r="Q111" s="47"/>
      <c r="R111" s="114"/>
      <c r="S111" s="517"/>
      <c r="T111" s="47"/>
      <c r="U111" s="47"/>
      <c r="V111" s="47"/>
      <c r="W111" s="44"/>
      <c r="X111" s="515"/>
      <c r="Y111" s="47"/>
      <c r="Z111" s="132"/>
      <c r="AA111" s="47"/>
      <c r="AB111" s="47"/>
      <c r="AC111" s="47"/>
    </row>
    <row r="112" spans="1:29" x14ac:dyDescent="0.25">
      <c r="A112" s="22"/>
      <c r="B112" s="28" t="s">
        <v>17</v>
      </c>
      <c r="C112" s="74"/>
      <c r="D112" s="74"/>
      <c r="E112" s="75">
        <f>(SUMPRODUCT(E20:E23,E65:E68,$C84:$C87,$H84:$H87)*E95+SUMPRODUCT(Q20:Q23,E65:E68,$E84:$E87,$I84:$I87)*E95)/SUM(E65:E68)</f>
        <v>30.408650679409746</v>
      </c>
      <c r="F112" s="75">
        <f>(SUMPRODUCT(F20:F23,F65:F68,$C84:$C87,$H84:$H87)*F95+SUMPRODUCT(R20:R23,F65:F68,$E84:$E87,$I84:$I87)*F95)/SUM(F65:F68)</f>
        <v>30.470677142430219</v>
      </c>
      <c r="G112" s="75">
        <f>(SUMPRODUCT(G20:G23,G65:G68,$C84:$C87,$H84:$H87)*G95+SUMPRODUCT(S20:S23,G65:G68,$E84:$E87,$I84:$I87)*G95)/SUM(G65:G68)</f>
        <v>31.415417827563985</v>
      </c>
      <c r="H112" s="75">
        <f>(SUMPRODUCT(H20:H23,H65:H68,$C84:$C87,$H84:$H87)*H95+SUMPRODUCT(T20:T23,H65:H68,$E84:$E87,$I84:$I87)*H95)/SUM(H65:H68)</f>
        <v>31.662601424530095</v>
      </c>
      <c r="I112" s="75">
        <f>(SUMPRODUCT(I20:I23,I65:I68,$C84:$C87,$H84:$H87)*I95+SUMPRODUCT(U20:U23,I65:I68,$E84:$E87,$I84:$I87)*I95)/SUM(I65:I68)</f>
        <v>25.922045144117817</v>
      </c>
      <c r="J112" s="76"/>
      <c r="K112" s="76"/>
      <c r="L112" s="74"/>
      <c r="M112" s="518"/>
      <c r="N112" s="47"/>
      <c r="O112" s="47"/>
      <c r="P112" s="47"/>
      <c r="Q112" s="47"/>
      <c r="R112" s="47"/>
      <c r="S112" s="47"/>
      <c r="T112" s="47"/>
      <c r="U112" s="47"/>
      <c r="V112" s="47"/>
      <c r="W112" s="47"/>
      <c r="X112" s="47"/>
      <c r="Y112" s="47"/>
      <c r="Z112" s="426"/>
      <c r="AA112" s="47"/>
      <c r="AB112" s="114"/>
      <c r="AC112" s="517"/>
    </row>
    <row r="113" spans="1:29" x14ac:dyDescent="0.25">
      <c r="A113" s="22"/>
      <c r="B113" s="77" t="s">
        <v>41</v>
      </c>
      <c r="C113" s="74"/>
      <c r="D113" s="74"/>
      <c r="E113" s="75">
        <f>(SUMPRODUCT(E20:E23,E65:E68,$C84:$C87,$H84:$H87)*E95)/SUMPRODUCT(E20:E23,E65:E68)</f>
        <v>37.884217443922417</v>
      </c>
      <c r="F113" s="75">
        <f>(SUMPRODUCT(F20:F23,F65:F68,$C84:$C87,$H84:$H87)*F95)/SUMPRODUCT(F20:F23,F65:F68)</f>
        <v>37.948677761565804</v>
      </c>
      <c r="G113" s="75">
        <f>(SUMPRODUCT(G20:G23,G65:G68,$C84:$C87,$H84:$H87)*G95)/SUMPRODUCT(G20:G23,G65:G68)</f>
        <v>37.677135616708846</v>
      </c>
      <c r="H113" s="75">
        <f>(SUMPRODUCT(H20:H23,H65:H68,$C84:$C87,$H84:$H87)*H95)/SUMPRODUCT(H20:H23,H65:H68)</f>
        <v>38.065321493415709</v>
      </c>
      <c r="I113" s="75">
        <f>(SUMPRODUCT(I20:I23,I65:I68,$C84:$C87,$H84:$H87)*I95)/SUMPRODUCT(I20:I23,I65:I68)</f>
        <v>37.424157027552639</v>
      </c>
      <c r="J113" s="76"/>
      <c r="K113" s="76"/>
      <c r="L113" s="74"/>
      <c r="M113" s="518"/>
      <c r="N113" s="47"/>
      <c r="O113" s="47"/>
      <c r="P113" s="47"/>
      <c r="Q113" s="47"/>
      <c r="R113" s="47"/>
      <c r="S113" s="522"/>
      <c r="T113" s="47"/>
      <c r="U113" s="47"/>
      <c r="V113" s="47"/>
      <c r="W113" s="47"/>
      <c r="X113" s="47"/>
      <c r="Y113" s="47"/>
      <c r="Z113" s="47"/>
      <c r="AA113" s="47"/>
      <c r="AB113" s="47"/>
      <c r="AC113" s="47"/>
    </row>
    <row r="114" spans="1:29" x14ac:dyDescent="0.25">
      <c r="A114" s="22"/>
      <c r="B114" s="77" t="s">
        <v>42</v>
      </c>
      <c r="C114" s="74"/>
      <c r="D114" s="74"/>
      <c r="E114" s="75">
        <f>(SUMPRODUCT(Q20:Q23,E65:E68,$E84:$E87,$I84:$I87)*E95)/SUMPRODUCT(Q20:Q23,E65:E68)</f>
        <v>22.30886099795001</v>
      </c>
      <c r="F114" s="75">
        <f>(SUMPRODUCT(R20:R23,F65:F68,$E84:$E87,$I84:$I87)*F95)/SUMPRODUCT(R20:R23,F65:F68)</f>
        <v>22.363176636066949</v>
      </c>
      <c r="G114" s="75">
        <f>(SUMPRODUCT(S20:S23,G65:G68,$E84:$E87,$I84:$I87)*G95)/SUMPRODUCT(S20:S23,G65:G68)</f>
        <v>22.287937390668684</v>
      </c>
      <c r="H114" s="75">
        <f>(SUMPRODUCT(T20:T23,H65:H68,$E84:$E87,$I84:$I87)*H95)/SUMPRODUCT(T20:T23,H65:H68)</f>
        <v>22.500662897692258</v>
      </c>
      <c r="I114" s="75">
        <f>(SUMPRODUCT(U20:U23,I65:I68,$E84:$E87,$I84:$I87)*I95)/SUMPRODUCT(U20:U23,I65:I68)</f>
        <v>22.205859517985399</v>
      </c>
      <c r="J114" s="76"/>
      <c r="K114" s="76"/>
      <c r="L114" s="74"/>
      <c r="M114" s="44"/>
      <c r="N114" s="515"/>
      <c r="O114" s="47"/>
      <c r="P114" s="132"/>
      <c r="Q114" s="47"/>
      <c r="R114" s="47"/>
      <c r="S114" s="47"/>
      <c r="T114" s="47"/>
      <c r="U114" s="47"/>
      <c r="V114" s="47"/>
      <c r="W114" s="47"/>
      <c r="X114" s="47"/>
      <c r="Y114" s="47"/>
      <c r="Z114" s="47"/>
      <c r="AA114" s="47"/>
      <c r="AB114" s="47"/>
      <c r="AC114" s="47"/>
    </row>
    <row r="115" spans="1:29" x14ac:dyDescent="0.25">
      <c r="A115" s="22"/>
      <c r="C115" s="143"/>
      <c r="D115" s="143"/>
      <c r="E115" s="144"/>
      <c r="F115" s="144"/>
      <c r="G115" s="144"/>
      <c r="H115" s="144"/>
      <c r="I115" s="144"/>
      <c r="J115" s="76"/>
      <c r="K115" s="76"/>
      <c r="L115" s="143"/>
      <c r="M115" s="47"/>
      <c r="N115" s="47"/>
      <c r="O115" s="47"/>
      <c r="P115" s="47"/>
      <c r="Q115" s="47"/>
      <c r="R115" s="114"/>
      <c r="S115" s="517"/>
      <c r="T115" s="47"/>
      <c r="U115" s="47"/>
      <c r="V115" s="47"/>
      <c r="W115" s="47"/>
      <c r="X115" s="47"/>
      <c r="Y115" s="47"/>
      <c r="Z115" s="47"/>
      <c r="AA115" s="47"/>
      <c r="AB115" s="47"/>
      <c r="AC115" s="519"/>
    </row>
    <row r="116" spans="1:29" x14ac:dyDescent="0.25">
      <c r="A116" s="22"/>
      <c r="B116" s="28" t="s">
        <v>18</v>
      </c>
      <c r="C116" s="74"/>
      <c r="D116" s="74"/>
      <c r="E116" s="75">
        <f>(SUMPRODUCT(E15:E19,E60:E64,$C79:$C83,$H79:$H83)*E95+SUMPRODUCT(Q15:Q19,E60:E64,$E79:$E83,$I79:$I83)*E95+SUMPRODUCT(E24:E26,E69:E71,$C88:$C90,$H88:$H90)*E95+SUMPRODUCT(Q24:Q26,E69:E71,$E88:$E90,$I88:$I90)*E95)/SUM(E60:E64,E69:E71)</f>
        <v>34.749868167312506</v>
      </c>
      <c r="F116" s="75">
        <f>(SUMPRODUCT(F15:F19,F60:F64,$C79:$C83,$H79:$H83)*F95+SUMPRODUCT(R15:R19,F60:F64,$E79:$E83,$I79:$I83)*F95+SUMPRODUCT(F24:F26,F69:F71,$C88:$C90,$H88:$H90)*F95+SUMPRODUCT(R24:R26,F69:F71,$E88:$E90,$I88:$I90)*F95)/SUM(F60:F64,F69:F71)</f>
        <v>34.342820070437249</v>
      </c>
      <c r="G116" s="75">
        <f>(SUMPRODUCT(G15:G19,G60:G64,$C79:$C83,$H79:$H83)*G95+SUMPRODUCT(S15:S19,G60:G64,$E79:$E83,$I79:$I83)*G95+SUMPRODUCT(G24:G26,G69:G71,$C88:$C90,$H88:$H90)*G95+SUMPRODUCT(S24:S26,G69:G71,$E88:$E90,$I88:$I90)*G95)/SUM(G60:G64,G69:G71)</f>
        <v>34.670429193596746</v>
      </c>
      <c r="H116" s="75">
        <f>(SUMPRODUCT(H15:H19,H60:H64,$C79:$C83,$H79:$H83)*H95+SUMPRODUCT(T15:T19,H60:H64,$E79:$E83,$I79:$I83)*H95+SUMPRODUCT(H24:H26,H69:H71,$C88:$C90,$H88:$H90)*H95+SUMPRODUCT(T24:T26,H69:H71,$E88:$E90,$I88:$I90)*H95)/SUM(H60:H64,H69:H71)</f>
        <v>35.166706437413815</v>
      </c>
      <c r="I116" s="75">
        <f>(SUMPRODUCT(I15:I19,I60:I64,$C79:$C83,$H79:$H83)*I95+SUMPRODUCT(U15:U19,I60:I64,$E79:$E83,$I79:$I83)*I95+SUMPRODUCT(I24:I26,I69:I71,$C88:$C90,$H88:$H90)*I95+SUMPRODUCT(U24:U26,I69:I71,$E88:$E90,$I88:$I90)*I95)/SUM(I60:I64,I69:I71)</f>
        <v>31.384838641530191</v>
      </c>
      <c r="J116" s="76"/>
      <c r="K116" s="76"/>
      <c r="L116" s="74"/>
      <c r="M116" s="520"/>
      <c r="N116" s="47"/>
      <c r="O116" s="47"/>
      <c r="P116" s="47"/>
      <c r="Q116" s="47"/>
      <c r="R116" s="47"/>
      <c r="S116" s="47"/>
      <c r="T116" s="47"/>
      <c r="U116" s="47"/>
      <c r="V116" s="47"/>
      <c r="W116" s="47"/>
      <c r="X116" s="47"/>
      <c r="Y116" s="47"/>
      <c r="Z116" s="47"/>
      <c r="AA116" s="47"/>
      <c r="AB116" s="47"/>
      <c r="AC116" s="47"/>
    </row>
    <row r="117" spans="1:29" x14ac:dyDescent="0.25">
      <c r="A117" s="22"/>
      <c r="B117" s="77" t="s">
        <v>41</v>
      </c>
      <c r="C117" s="74"/>
      <c r="D117" s="74"/>
      <c r="E117" s="75">
        <f>(SUMPRODUCT(E15:E19,E60:E64,$C79:$C83,$H79:$H83)*E95+SUMPRODUCT(E24:E26,E69:E71,$C88:$C90,$H88:$H90)*E95)/(SUMPRODUCT(E15:E19,E60:E64)+SUMPRODUCT(E24:E26,E69:E71))</f>
        <v>40.544830806990312</v>
      </c>
      <c r="F117" s="75">
        <f>(SUMPRODUCT(F15:F19,F60:F64,$C79:$C83,$H79:$H83)*F95+SUMPRODUCT(F24:F26,F69:F71,$C88:$C90,$H88:$H90)*F95)/(SUMPRODUCT(F15:F19,F60:F64)+SUMPRODUCT(F24:F26,F69:F71))</f>
        <v>39.845184838035351</v>
      </c>
      <c r="G117" s="75">
        <f>(SUMPRODUCT(G15:G19,G60:G64,$C79:$C83,$H79:$H83)*G95+SUMPRODUCT(G24:G26,G69:G71,$C88:$C90,$H88:$H90)*G95)/(SUMPRODUCT(G15:G19,G60:G64)+SUMPRODUCT(G24:G26,G69:G71))</f>
        <v>39.072623762055329</v>
      </c>
      <c r="H117" s="75">
        <f>(SUMPRODUCT(H15:H19,H60:H64,$C79:$C83,$H79:$H83)*H95+SUMPRODUCT(H24:H26,H69:H71,$C88:$C90,$H88:$H90)*H95)/(SUMPRODUCT(H15:H19,H60:H64)+SUMPRODUCT(H24:H26,H69:H71))</f>
        <v>39.851158805748433</v>
      </c>
      <c r="I117" s="75">
        <f>(SUMPRODUCT(I15:I19,I60:I64,$C79:$C83,$H79:$H83)*I95+SUMPRODUCT(I24:I26,I69:I71,$C88:$C90,$H88:$H90)*I95)/(SUMPRODUCT(I15:I19,I60:I64)+SUMPRODUCT(I24:I26,I69:I71))</f>
        <v>39.29981300190326</v>
      </c>
      <c r="J117" s="76"/>
      <c r="K117" s="76"/>
      <c r="L117" s="74"/>
      <c r="M117" s="518"/>
      <c r="N117" s="47"/>
      <c r="O117" s="47"/>
      <c r="P117" s="47"/>
      <c r="Q117" s="47"/>
      <c r="R117" s="47"/>
      <c r="S117" s="522"/>
      <c r="T117" s="47"/>
      <c r="U117" s="47"/>
      <c r="V117" s="47"/>
      <c r="W117" s="47"/>
      <c r="X117" s="47"/>
      <c r="Y117" s="47"/>
      <c r="Z117" s="47"/>
      <c r="AA117" s="47"/>
      <c r="AB117" s="47"/>
      <c r="AC117" s="47"/>
    </row>
    <row r="118" spans="1:29" x14ac:dyDescent="0.25">
      <c r="A118" s="22"/>
      <c r="B118" s="77" t="s">
        <v>42</v>
      </c>
      <c r="C118" s="74"/>
      <c r="D118" s="74"/>
      <c r="E118" s="75">
        <f>(SUMPRODUCT(Q15:Q19,E60:E64,$E79:$E83,$I79:$I83)*E95+SUMPRODUCT(Q24:Q26,E69:E71,$E88:$E90,$I88:$I90)*E95)/(SUMPRODUCT(Q15:Q19,E60:E64)+SUMPRODUCT(Q24:Q26,E69:E71))</f>
        <v>29.367015132671348</v>
      </c>
      <c r="F118" s="75">
        <f>(SUMPRODUCT(R15:R19,F60:F64,$E79:$E83,$I79:$I83)*F95+SUMPRODUCT(R24:R26,F69:F71,$E88:$E90,$I88:$I90)*F95)/(SUMPRODUCT(R15:R19,F60:F64)+SUMPRODUCT(R24:R26,F69:F71))</f>
        <v>28.79454005538626</v>
      </c>
      <c r="G118" s="75">
        <f>(SUMPRODUCT(S15:S19,G60:G64,$E79:$E83,$I79:$I83)*G95+SUMPRODUCT(S24:S26,G69:G71,$E88:$E90,$I88:$I90)*G95)/(SUMPRODUCT(S15:S19,G60:G64)+SUMPRODUCT(S24:S26,G69:G71))</f>
        <v>28.535747755755857</v>
      </c>
      <c r="H118" s="75">
        <f>(SUMPRODUCT(T15:T19,H60:H64,$E79:$E83,$I79:$I83)*H95+SUMPRODUCT(T24:T26,H69:H71,$E88:$E90,$I88:$I90)*H95)/(SUMPRODUCT(T15:T19,H60:H64)+SUMPRODUCT(T24:T26,H69:H71))</f>
        <v>29.154940792294003</v>
      </c>
      <c r="I118" s="75">
        <f>(SUMPRODUCT(U15:U19,I60:I64,$E79:$E83,$I79:$I83)*I95+SUMPRODUCT(U24:U26,I69:I71,$E88:$E90,$I88:$I90)*I95)/(SUMPRODUCT(U15:U19,I60:I64)+SUMPRODUCT(U24:U26,I69:I71))</f>
        <v>28.040547392331732</v>
      </c>
      <c r="J118" s="76"/>
      <c r="K118" s="76"/>
      <c r="L118" s="74"/>
      <c r="M118" s="44"/>
      <c r="N118" s="515"/>
      <c r="O118" s="47"/>
      <c r="P118" s="132"/>
      <c r="Q118" s="47"/>
      <c r="R118" s="47"/>
      <c r="S118" s="47"/>
      <c r="T118" s="47"/>
      <c r="U118" s="47"/>
      <c r="V118" s="47"/>
      <c r="W118" s="47"/>
      <c r="X118" s="47"/>
      <c r="Y118" s="47"/>
      <c r="Z118" s="47"/>
      <c r="AA118" s="47"/>
      <c r="AB118" s="47"/>
      <c r="AC118" s="47"/>
    </row>
    <row r="119" spans="1:29" x14ac:dyDescent="0.25">
      <c r="A119" s="22"/>
      <c r="C119" s="143"/>
      <c r="D119" s="143"/>
      <c r="E119" s="144"/>
      <c r="F119" s="144"/>
      <c r="G119" s="144"/>
      <c r="H119" s="144"/>
      <c r="I119" s="144"/>
      <c r="J119" s="76"/>
      <c r="K119" s="76"/>
      <c r="L119" s="143"/>
      <c r="M119" s="47"/>
      <c r="N119" s="47"/>
      <c r="O119" s="47"/>
      <c r="P119" s="47"/>
      <c r="Q119" s="47"/>
      <c r="R119" s="114"/>
      <c r="S119" s="517"/>
      <c r="T119" s="47"/>
      <c r="U119" s="47"/>
      <c r="V119" s="47"/>
      <c r="W119" s="47"/>
      <c r="X119" s="47"/>
      <c r="Y119" s="47"/>
      <c r="Z119" s="47"/>
      <c r="AA119" s="47"/>
      <c r="AB119" s="47"/>
      <c r="AC119" s="47"/>
    </row>
    <row r="120" spans="1:29" x14ac:dyDescent="0.25">
      <c r="A120" s="22"/>
      <c r="B120" s="13" t="s">
        <v>16</v>
      </c>
      <c r="C120" s="74"/>
      <c r="D120" s="78"/>
      <c r="E120" s="79">
        <f>(E112*SUM(E65:E68)+E116*SUM(E60:E64,E69:E71))/E72</f>
        <v>33.348822922274572</v>
      </c>
      <c r="F120" s="79">
        <f>(F112*SUM(F65:F68)+F116*SUM(F60:F64,F69:F71))/F72</f>
        <v>32.734660163682086</v>
      </c>
      <c r="G120" s="79">
        <f>(G112*SUM(G65:G68)+G116*SUM(G60:G64,G69:G71))/G72</f>
        <v>33.480500863362877</v>
      </c>
      <c r="H120" s="79">
        <f>(H112*SUM(H65:H68)+H116*SUM(H60:H64,H69:H71))/H72</f>
        <v>34.198336805221658</v>
      </c>
      <c r="I120" s="79">
        <f>(I112*SUM(I65:I68)+I116*SUM(I60:I64,I69:I71))/I72</f>
        <v>29.564927167862766</v>
      </c>
      <c r="J120" s="76"/>
      <c r="K120" s="76"/>
      <c r="L120" s="78"/>
      <c r="M120" s="518"/>
      <c r="N120" s="47"/>
      <c r="O120" s="47"/>
      <c r="P120" s="47"/>
      <c r="Q120" s="47"/>
      <c r="R120" s="47"/>
      <c r="S120" s="47"/>
      <c r="T120" s="47"/>
      <c r="U120" s="47"/>
      <c r="V120" s="47"/>
      <c r="W120" s="47"/>
      <c r="X120" s="47"/>
      <c r="Y120" s="47"/>
      <c r="Z120" s="47"/>
      <c r="AA120" s="47"/>
      <c r="AB120" s="47"/>
      <c r="AC120" s="47"/>
    </row>
    <row r="121" spans="1:29" x14ac:dyDescent="0.25">
      <c r="A121" s="22"/>
      <c r="C121" s="74"/>
      <c r="D121" s="78"/>
      <c r="E121" s="78"/>
      <c r="F121" s="78"/>
      <c r="G121" s="78"/>
      <c r="H121" s="78"/>
      <c r="I121" s="78"/>
      <c r="J121" s="78"/>
      <c r="K121" s="78"/>
      <c r="L121" s="78"/>
      <c r="M121" s="518"/>
      <c r="N121" s="47"/>
      <c r="O121" s="47"/>
      <c r="P121" s="47"/>
      <c r="Q121" s="47"/>
      <c r="R121" s="47"/>
      <c r="S121" s="522"/>
      <c r="T121" s="47"/>
      <c r="U121" s="47"/>
      <c r="V121" s="47"/>
      <c r="W121" s="47"/>
      <c r="X121" s="47"/>
      <c r="Y121" s="47"/>
      <c r="Z121" s="47"/>
      <c r="AA121" s="47"/>
      <c r="AB121" s="47"/>
      <c r="AC121" s="47"/>
    </row>
    <row r="122" spans="1:29" x14ac:dyDescent="0.25">
      <c r="A122" s="22"/>
      <c r="B122" s="13" t="s">
        <v>44</v>
      </c>
      <c r="C122" s="80">
        <f>SUMPRODUCT(C120:I120,C72:I72)/SUM(C72:I72)</f>
        <v>33.023960034495047</v>
      </c>
      <c r="D122" s="78"/>
      <c r="E122" s="78"/>
      <c r="F122" s="78"/>
      <c r="G122" s="78"/>
      <c r="H122" s="78"/>
      <c r="I122" s="78"/>
      <c r="J122" s="78"/>
      <c r="K122" s="78"/>
      <c r="L122" s="78"/>
      <c r="M122" s="44"/>
      <c r="N122" s="515"/>
      <c r="O122" s="47"/>
      <c r="P122" s="132"/>
      <c r="Q122" s="47"/>
      <c r="R122" s="47"/>
      <c r="S122" s="47"/>
      <c r="T122" s="47"/>
      <c r="U122" s="47"/>
      <c r="V122" s="47"/>
      <c r="W122" s="47"/>
      <c r="X122" s="47"/>
      <c r="Y122" s="47"/>
      <c r="Z122" s="47"/>
      <c r="AA122" s="47"/>
      <c r="AB122" s="47"/>
      <c r="AC122" s="47"/>
    </row>
    <row r="123" spans="1:29" x14ac:dyDescent="0.25">
      <c r="A123" s="22"/>
      <c r="C123" s="74"/>
      <c r="D123" s="78"/>
      <c r="E123" s="78"/>
      <c r="F123" s="78"/>
      <c r="G123" s="78"/>
      <c r="H123" s="78"/>
      <c r="I123" s="78"/>
      <c r="J123" s="78"/>
      <c r="K123" s="78"/>
      <c r="L123" s="78"/>
      <c r="M123" s="47"/>
      <c r="N123" s="47"/>
      <c r="O123" s="47"/>
      <c r="P123" s="47"/>
      <c r="Q123" s="47"/>
      <c r="R123" s="114"/>
      <c r="S123" s="517"/>
      <c r="T123" s="47"/>
      <c r="U123" s="47"/>
      <c r="V123" s="47"/>
      <c r="W123" s="47"/>
      <c r="X123" s="47"/>
      <c r="Y123" s="47"/>
      <c r="Z123" s="47"/>
      <c r="AA123" s="47"/>
      <c r="AB123" s="47"/>
      <c r="AC123" s="47"/>
    </row>
    <row r="124" spans="1:29" x14ac:dyDescent="0.25">
      <c r="A124" s="22"/>
      <c r="C124" s="78"/>
      <c r="D124" s="78"/>
      <c r="E124" s="78"/>
      <c r="F124" s="78"/>
      <c r="G124" s="78"/>
      <c r="H124" s="78"/>
      <c r="I124" s="78"/>
      <c r="J124" s="78"/>
      <c r="K124" s="78"/>
      <c r="L124" s="78"/>
      <c r="M124" s="518"/>
      <c r="N124" s="47"/>
      <c r="O124" s="47"/>
      <c r="P124" s="47"/>
      <c r="Q124" s="47"/>
      <c r="R124" s="47"/>
      <c r="S124" s="47"/>
      <c r="T124" s="47"/>
      <c r="U124" s="47"/>
      <c r="V124" s="47"/>
      <c r="W124" s="47"/>
      <c r="X124" s="47"/>
      <c r="Y124" s="47"/>
      <c r="Z124" s="47"/>
      <c r="AA124" s="47"/>
      <c r="AB124" s="47"/>
      <c r="AC124" s="47"/>
    </row>
    <row r="125" spans="1:29" x14ac:dyDescent="0.25">
      <c r="A125" s="18" t="s">
        <v>35</v>
      </c>
      <c r="B125" s="16" t="s">
        <v>49</v>
      </c>
      <c r="C125" s="78"/>
      <c r="D125" s="78"/>
      <c r="E125" s="78"/>
      <c r="F125" s="78"/>
      <c r="G125" s="78"/>
      <c r="H125" s="78"/>
      <c r="I125" s="78"/>
      <c r="J125" s="78"/>
      <c r="K125" s="78"/>
      <c r="L125" s="78"/>
      <c r="M125" s="518"/>
      <c r="N125" s="47"/>
      <c r="O125" s="47"/>
      <c r="P125" s="47"/>
      <c r="Q125" s="47"/>
      <c r="R125" s="47"/>
      <c r="S125" s="522"/>
      <c r="T125" s="47"/>
      <c r="U125" s="47"/>
      <c r="V125" s="47"/>
      <c r="W125" s="47"/>
      <c r="X125" s="47"/>
      <c r="Y125" s="47"/>
      <c r="Z125" s="47"/>
      <c r="AA125" s="47"/>
      <c r="AB125" s="47"/>
      <c r="AC125" s="47"/>
    </row>
    <row r="126" spans="1:29" x14ac:dyDescent="0.25">
      <c r="A126" s="22"/>
      <c r="B126" s="17" t="s">
        <v>172</v>
      </c>
      <c r="C126" s="78"/>
      <c r="D126" s="78"/>
      <c r="E126" s="78"/>
      <c r="F126" s="78"/>
      <c r="G126" s="78"/>
      <c r="H126" s="78"/>
      <c r="I126" s="78"/>
      <c r="J126" s="78"/>
      <c r="K126" s="78"/>
      <c r="L126" s="78"/>
      <c r="M126" s="44"/>
      <c r="N126" s="515"/>
      <c r="O126" s="47"/>
      <c r="P126" s="132"/>
      <c r="Q126" s="47"/>
      <c r="R126" s="47"/>
      <c r="S126" s="47"/>
      <c r="T126" s="47"/>
      <c r="U126" s="47"/>
      <c r="V126" s="47"/>
      <c r="W126" s="47"/>
      <c r="X126" s="47"/>
      <c r="Y126" s="47"/>
      <c r="Z126" s="47"/>
      <c r="AA126" s="47"/>
      <c r="AB126" s="47"/>
      <c r="AC126" s="47"/>
    </row>
    <row r="127" spans="1:29" x14ac:dyDescent="0.25">
      <c r="A127" s="22"/>
      <c r="B127" s="17" t="s">
        <v>43</v>
      </c>
      <c r="C127" s="78"/>
      <c r="D127" s="78"/>
      <c r="E127" s="78"/>
      <c r="F127" s="78"/>
      <c r="G127" s="78"/>
      <c r="H127" s="78"/>
      <c r="I127" s="78"/>
      <c r="J127" s="78"/>
      <c r="K127" s="78"/>
      <c r="L127" s="78"/>
      <c r="M127" s="47"/>
      <c r="N127" s="47"/>
      <c r="O127" s="47"/>
      <c r="P127" s="47"/>
      <c r="Q127" s="47"/>
      <c r="R127" s="114"/>
      <c r="S127" s="517"/>
      <c r="T127" s="47"/>
      <c r="U127" s="47"/>
      <c r="V127" s="47"/>
      <c r="W127" s="47"/>
      <c r="X127" s="47"/>
      <c r="Y127" s="47"/>
      <c r="Z127" s="47"/>
      <c r="AA127" s="47"/>
      <c r="AB127" s="47"/>
      <c r="AC127" s="47"/>
    </row>
    <row r="128" spans="1:29" x14ac:dyDescent="0.25">
      <c r="A128" s="22"/>
      <c r="B128" s="16"/>
      <c r="C128" s="26"/>
      <c r="D128" s="26"/>
      <c r="E128" s="26" t="str">
        <f>+E$13</f>
        <v>RT{1}</v>
      </c>
      <c r="F128" s="26" t="str">
        <f>+F$13</f>
        <v>RS{2}</v>
      </c>
      <c r="G128" s="26" t="str">
        <f>+G$13</f>
        <v>GS{3}</v>
      </c>
      <c r="H128" s="26" t="str">
        <f>+H$58</f>
        <v>GST {4}</v>
      </c>
      <c r="I128" s="26" t="str">
        <f>+I$13</f>
        <v>OL/SL</v>
      </c>
      <c r="J128" s="26" t="s">
        <v>13</v>
      </c>
      <c r="K128" s="26"/>
      <c r="L128" s="26"/>
      <c r="M128" s="44"/>
      <c r="N128" s="47"/>
      <c r="O128" s="47"/>
      <c r="P128" s="47"/>
      <c r="Q128" s="47"/>
      <c r="R128" s="47"/>
      <c r="S128" s="47"/>
      <c r="T128" s="47"/>
      <c r="U128" s="47"/>
      <c r="V128" s="47"/>
      <c r="W128" s="47"/>
      <c r="X128" s="47"/>
      <c r="Y128" s="47"/>
      <c r="Z128" s="47"/>
      <c r="AA128" s="47"/>
      <c r="AB128" s="47"/>
      <c r="AC128" s="47"/>
    </row>
    <row r="129" spans="1:29" x14ac:dyDescent="0.25">
      <c r="A129" s="22"/>
      <c r="C129" s="81"/>
      <c r="M129" s="518"/>
      <c r="N129" s="47"/>
      <c r="O129" s="47"/>
      <c r="P129" s="47"/>
      <c r="Q129" s="47"/>
      <c r="R129" s="47"/>
      <c r="S129" s="522"/>
      <c r="T129" s="47"/>
      <c r="U129" s="47"/>
      <c r="V129" s="47"/>
      <c r="W129" s="47"/>
      <c r="X129" s="47"/>
      <c r="Y129" s="47"/>
      <c r="Z129" s="47"/>
      <c r="AA129" s="47"/>
      <c r="AB129" s="47"/>
      <c r="AC129" s="47"/>
    </row>
    <row r="130" spans="1:29" x14ac:dyDescent="0.25">
      <c r="A130" s="22"/>
      <c r="B130" s="28" t="s">
        <v>17</v>
      </c>
      <c r="C130" s="76"/>
      <c r="D130" s="76"/>
      <c r="E130" s="76">
        <f>SUM(E65:E68)*E112/1000</f>
        <v>2316.8350952642286</v>
      </c>
      <c r="F130" s="76">
        <f>SUM(F65:F68)*F112/1000</f>
        <v>111630.02653686739</v>
      </c>
      <c r="G130" s="76">
        <f>SUM(G65:G68)*G112/1000</f>
        <v>68723.73973122242</v>
      </c>
      <c r="H130" s="76">
        <f>SUM(H65:H68)*H112/1000</f>
        <v>1032.7074080624736</v>
      </c>
      <c r="I130" s="76">
        <f>SUM(I65:I68)*I112/1000</f>
        <v>986.98186886228586</v>
      </c>
      <c r="J130" s="76">
        <f>SUM(E130:I130)</f>
        <v>184690.29064027881</v>
      </c>
      <c r="K130" s="76"/>
      <c r="L130" s="76"/>
      <c r="M130" s="44"/>
      <c r="N130" s="515"/>
      <c r="O130" s="47"/>
      <c r="P130" s="132"/>
      <c r="Q130" s="47"/>
      <c r="R130" s="47"/>
      <c r="S130" s="47"/>
      <c r="T130" s="47"/>
      <c r="U130" s="47"/>
      <c r="V130" s="47"/>
      <c r="W130" s="47"/>
      <c r="X130" s="47"/>
      <c r="Y130" s="47"/>
      <c r="Z130" s="47"/>
      <c r="AA130" s="47"/>
      <c r="AB130" s="47"/>
      <c r="AC130" s="47"/>
    </row>
    <row r="131" spans="1:29" x14ac:dyDescent="0.25">
      <c r="A131" s="22"/>
      <c r="B131" s="77" t="s">
        <v>41</v>
      </c>
      <c r="C131" s="76"/>
      <c r="D131" s="76"/>
      <c r="E131" s="76">
        <f>SUMPRODUCT(E65:E68,E20:E23)*E113/1000</f>
        <v>1501.0392273908815</v>
      </c>
      <c r="F131" s="76">
        <f>SUMPRODUCT(F65:F68,F20:F23)*F113/1000</f>
        <v>72320.560692756582</v>
      </c>
      <c r="G131" s="76">
        <f>SUMPRODUCT(G65:G68,G20:G23)*G113/1000</f>
        <v>48885.12607536056</v>
      </c>
      <c r="H131" s="76">
        <f>SUMPRODUCT(H65:H68,H20:H23)*H113/1000</f>
        <v>730.81587896015913</v>
      </c>
      <c r="I131" s="76">
        <f>SUMPRODUCT(I65:I68,I20:I23)*I113/1000</f>
        <v>347.95514925746102</v>
      </c>
      <c r="J131" s="76">
        <f>SUM(E131:I131)</f>
        <v>123785.49702372565</v>
      </c>
      <c r="K131" s="76"/>
      <c r="L131" s="76"/>
      <c r="M131" s="47"/>
      <c r="N131" s="47"/>
      <c r="O131" s="47"/>
      <c r="P131" s="47"/>
      <c r="Q131" s="47"/>
      <c r="R131" s="114"/>
      <c r="S131" s="517"/>
      <c r="T131" s="47"/>
      <c r="U131" s="47"/>
      <c r="V131" s="47"/>
      <c r="W131" s="47"/>
      <c r="X131" s="47"/>
      <c r="Y131" s="47"/>
      <c r="Z131" s="47"/>
      <c r="AA131" s="47"/>
      <c r="AB131" s="47"/>
      <c r="AC131" s="47"/>
    </row>
    <row r="132" spans="1:29" x14ac:dyDescent="0.25">
      <c r="A132" s="22"/>
      <c r="B132" s="77" t="s">
        <v>42</v>
      </c>
      <c r="C132" s="76"/>
      <c r="D132" s="76"/>
      <c r="E132" s="76">
        <f>SUMPRODUCT(E65:E68,Q20:Q23)*E114/1000</f>
        <v>815.79586787334733</v>
      </c>
      <c r="F132" s="76">
        <f>SUMPRODUCT(F65:F68,R20:R23)*F114/1000</f>
        <v>39309.465844110797</v>
      </c>
      <c r="G132" s="76">
        <f>SUMPRODUCT(G65:G68,S20:S23)*G114/1000</f>
        <v>19838.61365586186</v>
      </c>
      <c r="H132" s="76">
        <f>SUMPRODUCT(H65:H68,T20:T23)*H114/1000</f>
        <v>301.89152910231445</v>
      </c>
      <c r="I132" s="76">
        <f>SUMPRODUCT(I65:I68,U20:U23)*I114/1000</f>
        <v>639.02671960482485</v>
      </c>
      <c r="J132" s="76">
        <f>SUM(E132:I132)</f>
        <v>60904.793616553143</v>
      </c>
      <c r="K132" s="76"/>
      <c r="L132" s="76"/>
      <c r="M132" s="521"/>
      <c r="N132" s="47"/>
      <c r="O132" s="47"/>
      <c r="P132" s="47"/>
      <c r="Q132" s="47"/>
      <c r="R132" s="47"/>
      <c r="S132" s="47"/>
      <c r="T132" s="47"/>
      <c r="U132" s="47"/>
      <c r="V132" s="47"/>
      <c r="W132" s="47"/>
      <c r="X132" s="47"/>
      <c r="Y132" s="47"/>
      <c r="Z132" s="47"/>
      <c r="AA132" s="47"/>
      <c r="AB132" s="47"/>
      <c r="AC132" s="47"/>
    </row>
    <row r="133" spans="1:29" x14ac:dyDescent="0.25">
      <c r="A133" s="22"/>
      <c r="C133" s="82"/>
      <c r="D133" s="82"/>
      <c r="E133" s="82"/>
      <c r="F133" s="82"/>
      <c r="G133" s="82"/>
      <c r="H133" s="82"/>
      <c r="I133" s="82"/>
      <c r="J133" s="76"/>
      <c r="K133" s="76"/>
      <c r="L133" s="82"/>
      <c r="M133" s="516"/>
      <c r="N133" s="47"/>
      <c r="O133" s="47"/>
      <c r="P133" s="47"/>
      <c r="Q133" s="47"/>
      <c r="R133" s="47"/>
      <c r="S133" s="522"/>
      <c r="T133" s="47"/>
      <c r="U133" s="47"/>
      <c r="V133" s="47"/>
      <c r="W133" s="47"/>
      <c r="X133" s="47"/>
      <c r="Y133" s="47"/>
      <c r="Z133" s="47"/>
      <c r="AA133" s="47"/>
      <c r="AB133" s="47"/>
      <c r="AC133" s="47"/>
    </row>
    <row r="134" spans="1:29" x14ac:dyDescent="0.25">
      <c r="A134" s="22"/>
      <c r="B134" s="28" t="s">
        <v>18</v>
      </c>
      <c r="C134" s="82"/>
      <c r="D134" s="82"/>
      <c r="E134" s="82">
        <f>SUM(E60:E64,E69:E71)*E116/1000</f>
        <v>5556.1216714034299</v>
      </c>
      <c r="F134" s="82">
        <f>SUM(F60:F64,F69:F71)*F116/1000</f>
        <v>177124.57125454312</v>
      </c>
      <c r="G134" s="82">
        <f>SUM(G60:G64,G69:G71)*G116/1000</f>
        <v>131625.45234318939</v>
      </c>
      <c r="H134" s="82">
        <f>SUM(H60:H64,H69:H71)*H116/1000</f>
        <v>3003.4828967002018</v>
      </c>
      <c r="I134" s="82">
        <f>SUM(I60:I64,I69:I71)*I116/1000</f>
        <v>2391.9640922255817</v>
      </c>
      <c r="J134" s="76">
        <f>SUM(E134:I134)</f>
        <v>319701.59225806175</v>
      </c>
      <c r="K134" s="76"/>
      <c r="L134" s="82"/>
      <c r="M134" s="44"/>
      <c r="N134" s="515"/>
      <c r="O134" s="47"/>
      <c r="P134" s="132"/>
      <c r="Q134" s="47"/>
      <c r="R134" s="47"/>
      <c r="S134" s="47"/>
      <c r="T134" s="47"/>
      <c r="U134" s="47"/>
      <c r="V134" s="47"/>
      <c r="W134" s="47"/>
      <c r="X134" s="47"/>
      <c r="Y134" s="47"/>
      <c r="Z134" s="47"/>
      <c r="AA134" s="47"/>
      <c r="AB134" s="47"/>
      <c r="AC134" s="47"/>
    </row>
    <row r="135" spans="1:29" x14ac:dyDescent="0.25">
      <c r="A135" s="22"/>
      <c r="B135" s="77" t="s">
        <v>41</v>
      </c>
      <c r="C135" s="76"/>
      <c r="D135" s="76"/>
      <c r="E135" s="76">
        <f>(SUMPRODUCT(E60:E64,E15:E19)+SUMPRODUCT(E69:E71,E24:E26))*E117/1000</f>
        <v>3121.8329325150048</v>
      </c>
      <c r="F135" s="76">
        <f>(SUMPRODUCT(F60:F64,F15:F19)+SUMPRODUCT(F69:F71,F24:F26))*F117/1000</f>
        <v>103178.55839430561</v>
      </c>
      <c r="G135" s="76">
        <f>(SUMPRODUCT(G60:G64,G15:G19)+SUMPRODUCT(G69:G71,G24:G26))*G117/1000</f>
        <v>86364.125599623396</v>
      </c>
      <c r="H135" s="76">
        <f>(SUMPRODUCT(H60:H64,H15:H19)+SUMPRODUCT(H69:H71,H24:H26))*H117/1000</f>
        <v>1912.9614474281336</v>
      </c>
      <c r="I135" s="76">
        <f>(SUMPRODUCT(I60:I64,I15:I19)+SUMPRODUCT(I69:I71,I24:I26))*I117/1000</f>
        <v>889.65017313746228</v>
      </c>
      <c r="J135" s="76">
        <f>SUM(E135:I135)</f>
        <v>195467.1285470096</v>
      </c>
      <c r="K135" s="76"/>
      <c r="L135" s="76"/>
      <c r="M135" s="47"/>
      <c r="N135" s="47"/>
      <c r="O135" s="47"/>
      <c r="P135" s="426"/>
      <c r="Q135" s="47"/>
      <c r="R135" s="114"/>
      <c r="S135" s="517"/>
      <c r="T135" s="47"/>
      <c r="U135" s="47"/>
      <c r="V135" s="47"/>
      <c r="W135" s="47"/>
      <c r="X135" s="47"/>
      <c r="Y135" s="47"/>
      <c r="Z135" s="47"/>
      <c r="AA135" s="47"/>
      <c r="AB135" s="47"/>
      <c r="AC135" s="47"/>
    </row>
    <row r="136" spans="1:29" x14ac:dyDescent="0.25">
      <c r="A136" s="22"/>
      <c r="B136" s="77" t="s">
        <v>42</v>
      </c>
      <c r="C136" s="76"/>
      <c r="D136" s="76"/>
      <c r="E136" s="76">
        <f>+(SUMPRODUCT(E60:E64,Q15:Q19)+SUMPRODUCT(E69:E71,Q24:Q26))*E118/1000</f>
        <v>2434.2887388884246</v>
      </c>
      <c r="F136" s="76">
        <f>+(SUMPRODUCT(F60:F64,R15:R19)+SUMPRODUCT(F69:F71,R24:R26))*F118/1000</f>
        <v>73946.012860237519</v>
      </c>
      <c r="G136" s="76">
        <f>+(SUMPRODUCT(G60:G64,S15:S19)+SUMPRODUCT(G69:G71,S24:S26))*G118/1000</f>
        <v>45261.326743565995</v>
      </c>
      <c r="H136" s="76">
        <f>+(SUMPRODUCT(H60:H64,T15:T19)+SUMPRODUCT(H69:H71,T24:T26))*H118/1000</f>
        <v>1090.5214492720677</v>
      </c>
      <c r="I136" s="76">
        <f>+(SUMPRODUCT(I60:I64,U15:U19)+SUMPRODUCT(I69:I71,U24:U26))*I118/1000</f>
        <v>1502.3139190881197</v>
      </c>
      <c r="J136" s="76">
        <f>SUM(E136:I136)</f>
        <v>124234.46371105213</v>
      </c>
      <c r="K136" s="76"/>
      <c r="L136" s="76"/>
      <c r="M136" s="521"/>
      <c r="N136" s="47"/>
      <c r="O136" s="47"/>
      <c r="P136" s="47"/>
      <c r="Q136" s="47"/>
      <c r="R136" s="47"/>
      <c r="S136" s="47"/>
      <c r="T136" s="47"/>
      <c r="U136" s="47"/>
      <c r="V136" s="47"/>
      <c r="W136" s="47"/>
      <c r="X136" s="47"/>
      <c r="Y136" s="47"/>
      <c r="Z136" s="47"/>
      <c r="AA136" s="47"/>
      <c r="AB136" s="47"/>
      <c r="AC136" s="47"/>
    </row>
    <row r="137" spans="1:29" x14ac:dyDescent="0.25">
      <c r="A137" s="22"/>
      <c r="C137" s="143"/>
      <c r="D137" s="143"/>
      <c r="E137" s="143"/>
      <c r="F137" s="143"/>
      <c r="G137" s="143"/>
      <c r="H137" s="143"/>
      <c r="I137" s="143"/>
      <c r="J137" s="76"/>
      <c r="K137" s="76"/>
      <c r="L137" s="143"/>
      <c r="M137" s="516"/>
      <c r="N137" s="47"/>
      <c r="O137" s="47"/>
      <c r="P137" s="47"/>
      <c r="Q137" s="47"/>
      <c r="R137" s="47"/>
      <c r="S137" s="522"/>
      <c r="T137" s="47"/>
      <c r="U137" s="47"/>
      <c r="V137" s="47"/>
      <c r="W137" s="47"/>
      <c r="X137" s="47"/>
      <c r="Y137" s="47"/>
      <c r="Z137" s="47"/>
      <c r="AA137" s="47"/>
      <c r="AB137" s="47"/>
      <c r="AC137" s="47"/>
    </row>
    <row r="138" spans="1:29" x14ac:dyDescent="0.25">
      <c r="A138" s="22"/>
      <c r="B138" s="13" t="s">
        <v>16</v>
      </c>
      <c r="C138" s="82"/>
      <c r="D138" s="82"/>
      <c r="E138" s="82">
        <f>+E130+E134</f>
        <v>7872.9567666676585</v>
      </c>
      <c r="F138" s="82">
        <f>+F130+F134</f>
        <v>288754.59779141052</v>
      </c>
      <c r="G138" s="82">
        <f>+G130+G134</f>
        <v>200349.19207441181</v>
      </c>
      <c r="H138" s="82">
        <f>+H130+H134</f>
        <v>4036.1903047626756</v>
      </c>
      <c r="I138" s="82">
        <f>+I130+I134</f>
        <v>3378.9459610878675</v>
      </c>
      <c r="J138" s="76">
        <f>SUM(E138:I138)</f>
        <v>504391.88289834053</v>
      </c>
      <c r="K138" s="76"/>
      <c r="L138" s="82"/>
      <c r="M138" s="44"/>
      <c r="N138" s="515"/>
      <c r="O138" s="47"/>
      <c r="P138" s="132"/>
      <c r="Q138" s="47"/>
      <c r="R138" s="47"/>
      <c r="S138" s="47"/>
      <c r="T138" s="47"/>
      <c r="U138" s="47"/>
      <c r="V138" s="47"/>
      <c r="W138" s="47"/>
      <c r="X138" s="47"/>
      <c r="Y138" s="47"/>
      <c r="Z138" s="47"/>
      <c r="AA138" s="47"/>
      <c r="AB138" s="47"/>
      <c r="AC138" s="47"/>
    </row>
    <row r="139" spans="1:29" x14ac:dyDescent="0.25">
      <c r="A139" s="22"/>
      <c r="M139" s="47"/>
      <c r="N139" s="47"/>
      <c r="O139" s="47"/>
      <c r="P139" s="426"/>
      <c r="Q139" s="47"/>
      <c r="R139" s="114"/>
      <c r="S139" s="517"/>
      <c r="T139" s="47"/>
      <c r="U139" s="47"/>
      <c r="V139" s="47"/>
      <c r="W139" s="47"/>
      <c r="X139" s="47"/>
      <c r="Y139" s="47"/>
      <c r="Z139" s="47"/>
      <c r="AA139" s="47"/>
      <c r="AB139" s="47"/>
      <c r="AC139" s="47"/>
    </row>
    <row r="140" spans="1:29" x14ac:dyDescent="0.25">
      <c r="A140" s="22"/>
      <c r="B140" s="13" t="s">
        <v>44</v>
      </c>
      <c r="C140" s="76">
        <f>SUM(C138:I138)</f>
        <v>504391.88289834053</v>
      </c>
      <c r="E140" s="83"/>
      <c r="F140" s="74"/>
      <c r="M140" s="47"/>
      <c r="N140" s="47"/>
      <c r="O140" s="47"/>
      <c r="P140" s="47"/>
      <c r="Q140" s="47"/>
      <c r="R140" s="47"/>
      <c r="S140" s="47"/>
      <c r="T140" s="47"/>
      <c r="U140" s="47"/>
      <c r="V140" s="47"/>
      <c r="W140" s="47"/>
      <c r="X140" s="47"/>
      <c r="Y140" s="47"/>
      <c r="Z140" s="47"/>
      <c r="AA140" s="47"/>
      <c r="AB140" s="47"/>
      <c r="AC140" s="47"/>
    </row>
    <row r="141" spans="1:29" x14ac:dyDescent="0.25">
      <c r="A141" s="22"/>
      <c r="M141" s="516"/>
      <c r="N141" s="47"/>
      <c r="O141" s="47"/>
      <c r="P141" s="47"/>
      <c r="Q141" s="47"/>
      <c r="R141" s="47"/>
      <c r="S141" s="522"/>
      <c r="T141" s="47"/>
      <c r="U141" s="47"/>
      <c r="V141" s="47"/>
      <c r="W141" s="47"/>
      <c r="X141" s="47"/>
      <c r="Y141" s="47"/>
      <c r="Z141" s="47"/>
      <c r="AA141" s="47"/>
      <c r="AB141" s="47"/>
      <c r="AC141" s="47"/>
    </row>
    <row r="142" spans="1:29" x14ac:dyDescent="0.25">
      <c r="A142" s="22"/>
      <c r="M142" s="44"/>
      <c r="N142" s="515"/>
      <c r="O142" s="47"/>
      <c r="P142" s="132"/>
      <c r="Q142" s="47"/>
      <c r="R142" s="47"/>
      <c r="S142" s="47"/>
      <c r="T142" s="47"/>
      <c r="U142" s="47"/>
      <c r="V142" s="47"/>
      <c r="W142" s="47"/>
      <c r="X142" s="47"/>
      <c r="Y142" s="47"/>
      <c r="Z142" s="47"/>
      <c r="AA142" s="47"/>
      <c r="AB142" s="47"/>
      <c r="AC142" s="47"/>
    </row>
    <row r="143" spans="1:29" ht="15.6" x14ac:dyDescent="0.3">
      <c r="A143" s="22"/>
      <c r="B143" s="534" t="str">
        <f>$B$1</f>
        <v xml:space="preserve">Jersey Central Power &amp; Light </v>
      </c>
      <c r="C143" s="534"/>
      <c r="D143" s="534"/>
      <c r="E143" s="534"/>
      <c r="F143" s="534"/>
      <c r="G143" s="534"/>
      <c r="H143" s="534"/>
      <c r="I143" s="534"/>
      <c r="J143" s="534"/>
      <c r="K143" s="534"/>
      <c r="L143" s="534"/>
      <c r="M143" s="47"/>
      <c r="N143" s="47"/>
      <c r="O143" s="47"/>
      <c r="P143" s="426"/>
      <c r="Q143" s="47"/>
      <c r="R143" s="114"/>
      <c r="S143" s="517"/>
      <c r="T143" s="47"/>
      <c r="U143" s="47"/>
      <c r="V143" s="47"/>
      <c r="W143" s="47"/>
      <c r="X143" s="47"/>
      <c r="Y143" s="47"/>
      <c r="Z143" s="47"/>
      <c r="AA143" s="47"/>
      <c r="AB143" s="47"/>
      <c r="AC143" s="47"/>
    </row>
    <row r="144" spans="1:29" ht="15.6" x14ac:dyDescent="0.3">
      <c r="A144" s="22"/>
      <c r="B144" s="534" t="str">
        <f>$B$2</f>
        <v>Attachment 2</v>
      </c>
      <c r="C144" s="534"/>
      <c r="D144" s="534"/>
      <c r="E144" s="534"/>
      <c r="F144" s="534"/>
      <c r="G144" s="534"/>
      <c r="H144" s="534"/>
      <c r="I144" s="534"/>
      <c r="J144" s="534"/>
      <c r="K144" s="534"/>
      <c r="L144" s="534"/>
    </row>
    <row r="145" spans="1:51" x14ac:dyDescent="0.25">
      <c r="A145" s="22"/>
    </row>
    <row r="146" spans="1:51" x14ac:dyDescent="0.25">
      <c r="A146" s="22"/>
    </row>
    <row r="147" spans="1:51" x14ac:dyDescent="0.25">
      <c r="A147" s="18" t="s">
        <v>70</v>
      </c>
      <c r="B147" s="16" t="s">
        <v>71</v>
      </c>
      <c r="C147" s="78"/>
      <c r="Q147" s="13" t="s">
        <v>126</v>
      </c>
      <c r="T147" s="13" t="s">
        <v>122</v>
      </c>
      <c r="W147" s="13" t="s">
        <v>123</v>
      </c>
    </row>
    <row r="148" spans="1:51" x14ac:dyDescent="0.25">
      <c r="A148" s="22"/>
      <c r="B148" s="17" t="s">
        <v>173</v>
      </c>
      <c r="C148" s="78"/>
      <c r="W148" s="13" t="s">
        <v>127</v>
      </c>
    </row>
    <row r="149" spans="1:51" x14ac:dyDescent="0.25">
      <c r="A149" s="22"/>
      <c r="B149" s="17" t="s">
        <v>21</v>
      </c>
      <c r="C149" s="78"/>
    </row>
    <row r="150" spans="1:51" x14ac:dyDescent="0.25">
      <c r="A150" s="22"/>
      <c r="B150" s="16"/>
      <c r="C150" s="26"/>
      <c r="D150" s="26"/>
      <c r="E150" s="26" t="str">
        <f>+E$13</f>
        <v>RT{1}</v>
      </c>
      <c r="F150" s="26" t="str">
        <f>+F$13</f>
        <v>RS{2}</v>
      </c>
      <c r="G150" s="26" t="str">
        <f>+G$13</f>
        <v>GS{3}</v>
      </c>
      <c r="H150" s="26" t="str">
        <f>+H$58</f>
        <v>GST {4}</v>
      </c>
      <c r="I150" s="26" t="str">
        <f>+I$13</f>
        <v>OL/SL</v>
      </c>
      <c r="J150" s="26"/>
      <c r="K150" s="26"/>
      <c r="L150" s="26"/>
      <c r="M150" s="26"/>
      <c r="Q150" s="26" t="str">
        <f>+$H150</f>
        <v>GST {4}</v>
      </c>
      <c r="R150" s="26"/>
      <c r="S150" s="26"/>
      <c r="T150" s="26" t="str">
        <f>+$H150</f>
        <v>GST {4}</v>
      </c>
      <c r="U150" s="26"/>
      <c r="V150" s="26"/>
      <c r="W150" s="26" t="str">
        <f>+$H150</f>
        <v>GST {4}</v>
      </c>
      <c r="X150" s="26"/>
      <c r="Z150" s="26"/>
      <c r="AA150" s="26"/>
      <c r="AC150" s="26"/>
      <c r="AD150" s="26"/>
      <c r="AU150" s="26" t="str">
        <f>+E$13</f>
        <v>RT{1}</v>
      </c>
      <c r="AV150" s="26" t="str">
        <f>+F$13</f>
        <v>RS{2}</v>
      </c>
      <c r="AW150" s="26" t="str">
        <f>+G$13</f>
        <v>GS{3}</v>
      </c>
      <c r="AX150" s="26" t="str">
        <f>+H$13</f>
        <v>GST</v>
      </c>
      <c r="AY150" s="26" t="str">
        <f>+I$13</f>
        <v>OL/SL</v>
      </c>
    </row>
    <row r="151" spans="1:51" x14ac:dyDescent="0.25">
      <c r="A151" s="22"/>
      <c r="C151" s="81"/>
    </row>
    <row r="152" spans="1:51" x14ac:dyDescent="0.25">
      <c r="A152" s="22"/>
      <c r="B152" s="28" t="s">
        <v>17</v>
      </c>
      <c r="C152" s="80"/>
      <c r="D152" s="80"/>
      <c r="E152" s="75">
        <f>+E130/SUM(E65:E68)*1000</f>
        <v>30.408650679409746</v>
      </c>
      <c r="F152" s="75">
        <f>+F130/SUM(F65:F68)*1000</f>
        <v>30.470677142430219</v>
      </c>
      <c r="G152" s="75">
        <f>+G130/SUM(G65:G68)*1000</f>
        <v>31.415417827563985</v>
      </c>
      <c r="H152" s="75">
        <f>+H130/SUM(H65:H68)*1000</f>
        <v>31.662601424530099</v>
      </c>
      <c r="I152" s="75">
        <f>+I130/SUM(I65:I68)*1000</f>
        <v>25.922045144117817</v>
      </c>
      <c r="J152" s="80"/>
      <c r="K152" s="80"/>
      <c r="L152" s="80"/>
      <c r="M152" s="80"/>
      <c r="P152" s="134" t="s">
        <v>25</v>
      </c>
      <c r="AU152" s="55">
        <f>SUM(E67:E68)</f>
        <v>39662</v>
      </c>
      <c r="AV152" s="55">
        <f>SUM(F67:F68)</f>
        <v>1980696</v>
      </c>
      <c r="AW152" s="55">
        <f>SUM(G67:G68)</f>
        <v>1121207</v>
      </c>
      <c r="AX152" s="55">
        <f>SUM(H67:H68)</f>
        <v>14129</v>
      </c>
      <c r="AY152" s="55">
        <f>SUM(I67:I68)</f>
        <v>19027</v>
      </c>
    </row>
    <row r="153" spans="1:51" x14ac:dyDescent="0.25">
      <c r="A153" s="22"/>
      <c r="B153" s="77" t="s">
        <v>72</v>
      </c>
      <c r="C153" s="76"/>
      <c r="D153" s="76"/>
      <c r="E153" s="75">
        <f>+(E131*1000-X165*AVERAGE(E$113,E$114))/R165</f>
        <v>40.008578728226965</v>
      </c>
      <c r="F153" s="75"/>
      <c r="G153" s="75"/>
      <c r="H153" s="75">
        <f>+(H131*1000-W153*AVERAGE(H$113,H$114))/Q153</f>
        <v>40.1121889505906</v>
      </c>
      <c r="I153" s="75"/>
      <c r="J153" s="76"/>
      <c r="K153" s="76"/>
      <c r="L153" s="76"/>
      <c r="M153" s="80"/>
      <c r="P153" s="13" t="s">
        <v>14</v>
      </c>
      <c r="Q153" s="55">
        <f>T65</f>
        <v>15200.926100000001</v>
      </c>
      <c r="R153" s="55"/>
      <c r="T153" s="55">
        <f>T76</f>
        <v>19198.993999999999</v>
      </c>
      <c r="U153" s="55"/>
      <c r="W153" s="55">
        <f>+T153-Q153</f>
        <v>3998.0678999999982</v>
      </c>
      <c r="X153" s="55"/>
      <c r="Z153" s="145"/>
      <c r="AA153" s="145"/>
      <c r="AX153" s="55">
        <f>ROUND(SUMPRODUCT(H65:H68,H38:H41),0)</f>
        <v>15201</v>
      </c>
    </row>
    <row r="154" spans="1:51" ht="15" x14ac:dyDescent="0.4">
      <c r="A154" s="22"/>
      <c r="B154" s="77" t="s">
        <v>73</v>
      </c>
      <c r="C154" s="76"/>
      <c r="D154" s="76"/>
      <c r="E154" s="75">
        <f>+(E132*1000-X166*AVERAGE(E$113,E$114))/R166</f>
        <v>23.774861332616531</v>
      </c>
      <c r="F154" s="75"/>
      <c r="G154" s="75"/>
      <c r="H154" s="75">
        <f>+(H132*1000-W154*AVERAGE(H$113,H$114))/Q154</f>
        <v>24.287292178261115</v>
      </c>
      <c r="I154" s="75"/>
      <c r="J154" s="76"/>
      <c r="K154" s="76"/>
      <c r="L154" s="76"/>
      <c r="M154" s="80"/>
      <c r="P154" s="13" t="s">
        <v>15</v>
      </c>
      <c r="Q154" s="55">
        <f>T66</f>
        <v>17415.073899999999</v>
      </c>
      <c r="R154" s="55"/>
      <c r="T154" s="55">
        <f>T77</f>
        <v>13417.006000000001</v>
      </c>
      <c r="U154" s="55"/>
      <c r="W154" s="55">
        <f>+T154-Q154</f>
        <v>-3998.0678999999982</v>
      </c>
      <c r="X154" s="55"/>
      <c r="Z154" s="85"/>
      <c r="AA154" s="85"/>
      <c r="AX154" s="55">
        <f>AX152-AX153</f>
        <v>-1072</v>
      </c>
    </row>
    <row r="155" spans="1:51" x14ac:dyDescent="0.25">
      <c r="A155" s="22"/>
      <c r="C155" s="82"/>
      <c r="D155" s="82"/>
      <c r="E155" s="79"/>
      <c r="F155" s="79"/>
      <c r="G155" s="79"/>
      <c r="H155" s="79"/>
      <c r="I155" s="79"/>
      <c r="J155" s="82"/>
      <c r="K155" s="82"/>
      <c r="L155" s="82"/>
      <c r="M155" s="82"/>
      <c r="Q155" s="55"/>
      <c r="R155" s="55"/>
      <c r="T155" s="55"/>
      <c r="U155" s="55"/>
      <c r="W155" s="55"/>
      <c r="X155" s="55"/>
      <c r="Z155" s="145"/>
      <c r="AA155" s="145"/>
      <c r="AC155" s="81"/>
      <c r="AD155" s="81"/>
    </row>
    <row r="156" spans="1:51" x14ac:dyDescent="0.25">
      <c r="A156" s="22"/>
      <c r="B156" s="28" t="s">
        <v>18</v>
      </c>
      <c r="C156" s="78"/>
      <c r="D156" s="78"/>
      <c r="E156" s="79">
        <f>+E134/SUM(E60:E64,E69:E71)*1000</f>
        <v>34.749868167312506</v>
      </c>
      <c r="F156" s="79">
        <f>+F134/SUM(F60:F64,F69:F71)*1000</f>
        <v>34.342820070437241</v>
      </c>
      <c r="G156" s="79">
        <f>+G134/SUM(G60:G64,G69:G71)*1000</f>
        <v>34.670429193596746</v>
      </c>
      <c r="H156" s="79">
        <f>+H134/SUM(H60:H64,H69:H71)*1000</f>
        <v>35.166706437413815</v>
      </c>
      <c r="I156" s="79">
        <f>+I134/SUM(I60:I64,I69:I71)*1000</f>
        <v>31.384838641530187</v>
      </c>
      <c r="J156" s="78"/>
      <c r="K156" s="78"/>
      <c r="L156" s="78"/>
      <c r="M156" s="78"/>
      <c r="P156" s="134" t="s">
        <v>26</v>
      </c>
      <c r="Q156" s="55"/>
      <c r="R156" s="55"/>
      <c r="T156" s="55"/>
      <c r="U156" s="55"/>
      <c r="W156" s="55"/>
      <c r="X156" s="55"/>
      <c r="Z156" s="145"/>
      <c r="AA156" s="145"/>
      <c r="AC156" s="81"/>
      <c r="AU156" s="55">
        <f>E72-AU152</f>
        <v>196417</v>
      </c>
      <c r="AV156" s="55">
        <f>F72-AV152</f>
        <v>6840370</v>
      </c>
      <c r="AW156" s="55">
        <f>G72-AW152</f>
        <v>4862849</v>
      </c>
      <c r="AX156" s="55">
        <f>H72-AX152</f>
        <v>103894</v>
      </c>
      <c r="AY156" s="55">
        <f>I72-AY152</f>
        <v>95262</v>
      </c>
    </row>
    <row r="157" spans="1:51" x14ac:dyDescent="0.25">
      <c r="A157" s="22"/>
      <c r="B157" s="77" t="s">
        <v>72</v>
      </c>
      <c r="C157" s="76"/>
      <c r="D157" s="76"/>
      <c r="E157" s="75">
        <f>+(E135*1000-X170*AVERAGE(E$113,E$114))/R170</f>
        <v>44.264568867033276</v>
      </c>
      <c r="F157" s="75"/>
      <c r="G157" s="75"/>
      <c r="H157" s="75">
        <f>+(H135*1000-W157*AVERAGE(H$117,H$118))/Q157</f>
        <v>41.357719709023399</v>
      </c>
      <c r="I157" s="75"/>
      <c r="J157" s="76"/>
      <c r="K157" s="76"/>
      <c r="L157" s="76"/>
      <c r="M157" s="80"/>
      <c r="P157" s="13" t="s">
        <v>14</v>
      </c>
      <c r="Q157" s="55">
        <f>T61</f>
        <v>37452.340899999996</v>
      </c>
      <c r="R157" s="55"/>
      <c r="T157" s="55">
        <f>T72</f>
        <v>48002.655500000001</v>
      </c>
      <c r="U157" s="55"/>
      <c r="W157" s="55">
        <f>+T157-Q157</f>
        <v>10550.314600000005</v>
      </c>
      <c r="X157" s="55"/>
      <c r="Z157" s="145"/>
      <c r="AA157" s="145"/>
      <c r="AC157" s="81"/>
      <c r="AX157" s="55">
        <f>ROUND(SUMPRODUCT(H33:H37,H60:H64)+SUMPRODUCT(H42:H44,H69:H71),0)</f>
        <v>37452</v>
      </c>
    </row>
    <row r="158" spans="1:51" ht="15" x14ac:dyDescent="0.4">
      <c r="A158" s="22"/>
      <c r="B158" s="77" t="s">
        <v>73</v>
      </c>
      <c r="C158" s="76"/>
      <c r="D158" s="76"/>
      <c r="E158" s="75">
        <f>+(E136*1000-X171*AVERAGE(E$113,E$114))/R171</f>
        <v>29.510830184986879</v>
      </c>
      <c r="F158" s="75"/>
      <c r="G158" s="75"/>
      <c r="H158" s="75">
        <f>+(H136*1000-W158*AVERAGE(H$117,H$118))/Q158</f>
        <v>30.331557070983507</v>
      </c>
      <c r="I158" s="75"/>
      <c r="J158" s="76"/>
      <c r="K158" s="76"/>
      <c r="L158" s="76"/>
      <c r="M158" s="80"/>
      <c r="P158" s="13" t="s">
        <v>15</v>
      </c>
      <c r="Q158" s="55">
        <f>T62</f>
        <v>47954.659100000004</v>
      </c>
      <c r="R158" s="55"/>
      <c r="T158" s="55">
        <f>T73</f>
        <v>37404.344499999999</v>
      </c>
      <c r="U158" s="55"/>
      <c r="W158" s="55">
        <f>+T158-Q158</f>
        <v>-10550.314600000005</v>
      </c>
      <c r="X158" s="55"/>
      <c r="Z158" s="85"/>
      <c r="AA158" s="85"/>
      <c r="AC158" s="81"/>
      <c r="AX158" s="55">
        <f>AX156-AX157</f>
        <v>66442</v>
      </c>
    </row>
    <row r="159" spans="1:51" x14ac:dyDescent="0.25">
      <c r="A159" s="22"/>
      <c r="C159" s="143"/>
      <c r="D159" s="143"/>
      <c r="E159" s="144"/>
      <c r="F159" s="144"/>
      <c r="G159" s="144"/>
      <c r="H159" s="144"/>
      <c r="I159" s="144"/>
      <c r="J159" s="143"/>
      <c r="K159" s="143"/>
      <c r="L159" s="143"/>
      <c r="M159" s="143"/>
      <c r="Z159" s="145"/>
      <c r="AA159" s="145"/>
      <c r="AC159" s="81"/>
      <c r="AD159" s="81"/>
    </row>
    <row r="160" spans="1:51" x14ac:dyDescent="0.25">
      <c r="A160" s="22"/>
      <c r="B160" s="13" t="s">
        <v>74</v>
      </c>
      <c r="C160" s="74"/>
      <c r="D160" s="74"/>
      <c r="E160" s="75">
        <f>(E152*SUM(E65:E68)+E156*SUM(E60:E64,E69:E71))/E72</f>
        <v>33.348822922274572</v>
      </c>
      <c r="F160" s="75">
        <f>(F152*SUM(F65:F68)+F156*SUM(F60:F64,F69:F71))/F72</f>
        <v>32.734660163682079</v>
      </c>
      <c r="G160" s="75">
        <f>(G152*SUM(G65:G68)+G156*SUM(G60:G64,G69:G71))/G72</f>
        <v>33.480500863362877</v>
      </c>
      <c r="H160" s="75">
        <f>(H152*SUM(H65:H68)+H156*SUM(H60:H64,H69:H71))/H72</f>
        <v>34.198336805221658</v>
      </c>
      <c r="I160" s="75">
        <f>(I152*SUM(I65:I68)+I156*SUM(I60:I64,I69:I71))/I72</f>
        <v>29.564927167862766</v>
      </c>
      <c r="J160" s="74"/>
      <c r="K160" s="74"/>
      <c r="L160" s="74"/>
      <c r="M160" s="74"/>
      <c r="AU160" s="55">
        <f>E72</f>
        <v>236079</v>
      </c>
      <c r="AV160" s="55">
        <f>F72</f>
        <v>8821066</v>
      </c>
      <c r="AW160" s="55">
        <f>G72</f>
        <v>5984056</v>
      </c>
      <c r="AX160" s="55">
        <f>H72</f>
        <v>118023</v>
      </c>
      <c r="AY160" s="55">
        <f>I72</f>
        <v>114289</v>
      </c>
    </row>
    <row r="161" spans="1:51" x14ac:dyDescent="0.25">
      <c r="A161" s="22"/>
      <c r="B161" s="13" t="s">
        <v>75</v>
      </c>
      <c r="C161" s="80">
        <f>+C140/SUM(C72:I72)*1000</f>
        <v>33.02396003449504</v>
      </c>
    </row>
    <row r="162" spans="1:51" x14ac:dyDescent="0.25">
      <c r="A162" s="22"/>
      <c r="Q162" s="26" t="str">
        <f>+$E150</f>
        <v>RT{1}</v>
      </c>
      <c r="R162" s="26"/>
      <c r="S162" s="26"/>
      <c r="T162" s="26" t="str">
        <f>+$E150</f>
        <v>RT{1}</v>
      </c>
      <c r="U162" s="26"/>
      <c r="V162" s="26"/>
      <c r="W162" s="26" t="str">
        <f>+$E150</f>
        <v>RT{1}</v>
      </c>
      <c r="X162" s="26"/>
      <c r="Z162" s="26"/>
      <c r="AA162" s="26"/>
      <c r="AC162" s="26"/>
    </row>
    <row r="163" spans="1:51" x14ac:dyDescent="0.25">
      <c r="A163" s="22"/>
    </row>
    <row r="164" spans="1:51" x14ac:dyDescent="0.25">
      <c r="A164" s="18" t="s">
        <v>76</v>
      </c>
      <c r="B164" s="16" t="s">
        <v>139</v>
      </c>
      <c r="P164" s="134" t="s">
        <v>25</v>
      </c>
      <c r="Q164" s="38" t="s">
        <v>196</v>
      </c>
      <c r="R164" s="38" t="s">
        <v>192</v>
      </c>
      <c r="T164" s="38" t="s">
        <v>196</v>
      </c>
      <c r="U164" s="38" t="s">
        <v>192</v>
      </c>
      <c r="W164" s="38" t="s">
        <v>196</v>
      </c>
      <c r="X164" s="38" t="s">
        <v>192</v>
      </c>
      <c r="Z164" s="38"/>
      <c r="AC164" s="38"/>
    </row>
    <row r="165" spans="1:51" x14ac:dyDescent="0.25">
      <c r="A165" s="22"/>
      <c r="B165" s="17" t="s">
        <v>460</v>
      </c>
      <c r="J165" s="26" t="s">
        <v>413</v>
      </c>
      <c r="K165" s="26"/>
      <c r="P165" s="13" t="s">
        <v>14</v>
      </c>
      <c r="Q165" s="55">
        <f>SUMPRODUCT(E38:E41,M65:M68)</f>
        <v>30286.798000000003</v>
      </c>
      <c r="R165" s="55">
        <f>SUMPRODUCT(E38:E41,E65:E68)</f>
        <v>31135.267</v>
      </c>
      <c r="T165" s="55">
        <f>Q76</f>
        <v>39621.756200000003</v>
      </c>
      <c r="U165" s="55">
        <f>T165-($Q$167*$Q165/($Q$165+$Q$166))</f>
        <v>38771.542525688725</v>
      </c>
      <c r="W165" s="55">
        <f>+T165-Q165</f>
        <v>9334.9582000000009</v>
      </c>
      <c r="X165" s="55">
        <f>-Q165+U165</f>
        <v>8484.7445256887222</v>
      </c>
      <c r="Z165" s="145"/>
      <c r="AA165" s="145"/>
      <c r="AU165" s="82">
        <f>AU152*E152/1000</f>
        <v>1206.0679032467494</v>
      </c>
      <c r="AV165" s="82">
        <f>AV152*F152/1000</f>
        <v>60353.148333302968</v>
      </c>
      <c r="AW165" s="82">
        <f>AW152*G152/1000</f>
        <v>35223.186376189529</v>
      </c>
      <c r="AX165" s="82">
        <f>AX152*H152/1000</f>
        <v>447.36089552718573</v>
      </c>
      <c r="AY165" s="82">
        <f>AY152*I152/1000</f>
        <v>493.21875295712965</v>
      </c>
    </row>
    <row r="166" spans="1:51" ht="15" x14ac:dyDescent="0.4">
      <c r="A166" s="22"/>
      <c r="B166" s="17" t="s">
        <v>77</v>
      </c>
      <c r="C166" s="26"/>
      <c r="D166" s="26"/>
      <c r="E166" s="26" t="str">
        <f>+E$13</f>
        <v>RT{1}</v>
      </c>
      <c r="F166" s="26" t="str">
        <f>+F$13</f>
        <v>RS{2}</v>
      </c>
      <c r="G166" s="26" t="str">
        <f>+G$13</f>
        <v>GS{3}</v>
      </c>
      <c r="H166" s="26" t="str">
        <f>+H$58</f>
        <v>GST {4}</v>
      </c>
      <c r="I166" s="26" t="str">
        <f>+I$13</f>
        <v>OL/SL</v>
      </c>
      <c r="J166" s="26" t="s">
        <v>165</v>
      </c>
      <c r="K166" s="26"/>
      <c r="L166" s="26"/>
      <c r="M166" s="26"/>
      <c r="P166" s="13" t="s">
        <v>15</v>
      </c>
      <c r="Q166" s="55">
        <f>SUMPRODUCT(Q38:Q41,M65:M68)</f>
        <v>43823.202000000005</v>
      </c>
      <c r="R166" s="203">
        <f>SUMPRODUCT(Q38:Q41,E65:E68)</f>
        <v>45054.733</v>
      </c>
      <c r="T166" s="55">
        <f>Q77</f>
        <v>36568.243799999997</v>
      </c>
      <c r="U166" s="55">
        <f>T166-($Q$167*$Q166/($Q$165+$Q$166))</f>
        <v>35338.03499441727</v>
      </c>
      <c r="W166" s="55">
        <f>+T166-Q166</f>
        <v>-7254.9582000000082</v>
      </c>
      <c r="X166" s="55">
        <f>-Q166+U166</f>
        <v>-8485.1670055827344</v>
      </c>
      <c r="Z166" s="145"/>
      <c r="AA166" s="85"/>
      <c r="AU166" s="82"/>
      <c r="AV166" s="82"/>
      <c r="AW166" s="82"/>
      <c r="AX166" s="82">
        <f>AX153*H153/1000</f>
        <v>609.74538423792774</v>
      </c>
      <c r="AY166" s="82"/>
    </row>
    <row r="167" spans="1:51" ht="15" x14ac:dyDescent="0.4">
      <c r="A167" s="22"/>
      <c r="P167" s="13" t="s">
        <v>191</v>
      </c>
      <c r="Q167" s="203">
        <f>SUM(W65:W68)/1000</f>
        <v>2080.4224798939999</v>
      </c>
      <c r="R167" s="55">
        <f>SUM(R165:R166)</f>
        <v>76190</v>
      </c>
      <c r="T167" s="55">
        <v>0</v>
      </c>
      <c r="U167" s="55">
        <v>0</v>
      </c>
      <c r="W167" s="55">
        <f>+T167-Q167</f>
        <v>-2080.4224798939999</v>
      </c>
      <c r="X167" s="55"/>
      <c r="Z167" s="85"/>
      <c r="AU167" s="82"/>
      <c r="AV167" s="82"/>
      <c r="AW167" s="82"/>
      <c r="AX167" s="82">
        <f>AX154*H154/1000</f>
        <v>-26.035977215095915</v>
      </c>
      <c r="AY167" s="82"/>
    </row>
    <row r="168" spans="1:51" x14ac:dyDescent="0.25">
      <c r="A168" s="22"/>
      <c r="B168" s="13" t="s">
        <v>78</v>
      </c>
      <c r="C168" s="87"/>
      <c r="D168" s="87"/>
      <c r="E168" s="87">
        <v>88.77</v>
      </c>
      <c r="F168" s="87">
        <v>2935.1</v>
      </c>
      <c r="G168" s="87">
        <v>1636.86</v>
      </c>
      <c r="H168" s="87">
        <v>40.08</v>
      </c>
      <c r="I168" s="87">
        <v>0.23</v>
      </c>
      <c r="J168" s="87">
        <f>SUM(E168:I168)</f>
        <v>4701.0399999999991</v>
      </c>
      <c r="K168" s="87"/>
      <c r="L168" s="87"/>
      <c r="M168" s="87"/>
      <c r="Q168" s="55">
        <f>SUM(Q165:Q167)</f>
        <v>76190.422479893998</v>
      </c>
      <c r="Z168" s="145"/>
      <c r="AA168" s="145"/>
      <c r="AC168" s="81"/>
      <c r="AU168" s="82">
        <f>AU156*E156/1000</f>
        <v>6825.4648558190202</v>
      </c>
      <c r="AV168" s="82">
        <f>AV156*F156/1000</f>
        <v>234917.59612521678</v>
      </c>
      <c r="AW168" s="82">
        <f>AW156*G156/1000</f>
        <v>168597.06193365273</v>
      </c>
      <c r="AX168" s="82">
        <f>AX156*H156/1000</f>
        <v>3653.6097986086711</v>
      </c>
      <c r="AY168" s="82">
        <f>AY156*I156/1000</f>
        <v>2989.7824986694486</v>
      </c>
    </row>
    <row r="169" spans="1:51" x14ac:dyDescent="0.25">
      <c r="A169" s="22"/>
      <c r="P169" s="134" t="s">
        <v>26</v>
      </c>
      <c r="Q169" s="55"/>
      <c r="R169" s="55"/>
      <c r="T169" s="55"/>
      <c r="U169" s="55"/>
      <c r="W169" s="55"/>
      <c r="X169" s="55"/>
      <c r="AU169" s="82"/>
      <c r="AV169" s="82"/>
      <c r="AW169" s="82"/>
      <c r="AX169" s="82">
        <f>AX157*H157/1000</f>
        <v>1548.9293185423442</v>
      </c>
      <c r="AY169" s="82"/>
    </row>
    <row r="170" spans="1:51" x14ac:dyDescent="0.25">
      <c r="A170" s="22"/>
      <c r="K170" s="86"/>
      <c r="L170" s="86"/>
      <c r="M170" s="86"/>
      <c r="P170" s="13" t="s">
        <v>14</v>
      </c>
      <c r="Q170" s="55">
        <f>SUMPRODUCT(E33:E37,M60:M64)+SUMPRODUCT(E42:E44,M69:M71)</f>
        <v>55263.197499999995</v>
      </c>
      <c r="R170" s="55">
        <f>SUMPRODUCT(E33:E37,E60:E64)+SUMPRODUCT(E42:E44,E69:E71)</f>
        <v>56773.514299999995</v>
      </c>
      <c r="T170" s="55">
        <f>Q72</f>
        <v>76997.063999999998</v>
      </c>
      <c r="U170" s="55">
        <f>T170-($Q$172*$Q170/($Q$170+$Q$171))</f>
        <v>75490.69922337652</v>
      </c>
      <c r="W170" s="55">
        <f>+T170-Q170</f>
        <v>21733.866500000004</v>
      </c>
      <c r="X170" s="55">
        <f>-Q170+U170</f>
        <v>20227.501723376525</v>
      </c>
      <c r="Z170" s="145"/>
      <c r="AA170" s="145"/>
      <c r="AC170" s="81"/>
      <c r="AU170" s="82"/>
      <c r="AV170" s="82"/>
      <c r="AW170" s="82"/>
      <c r="AX170" s="82">
        <f>AX158*H158/1000</f>
        <v>2015.2893149102861</v>
      </c>
      <c r="AY170" s="82"/>
    </row>
    <row r="171" spans="1:51" ht="15" x14ac:dyDescent="0.4">
      <c r="A171" s="22"/>
      <c r="B171" s="13" t="s">
        <v>79</v>
      </c>
      <c r="C171" s="88" t="s">
        <v>80</v>
      </c>
      <c r="D171" s="86"/>
      <c r="E171" s="67"/>
      <c r="F171" s="67"/>
      <c r="G171" s="67"/>
      <c r="H171" s="67"/>
      <c r="I171" s="86"/>
      <c r="J171" s="86"/>
      <c r="K171" s="86"/>
      <c r="L171" s="86"/>
      <c r="M171" s="86"/>
      <c r="P171" s="13" t="s">
        <v>15</v>
      </c>
      <c r="Q171" s="55">
        <f>SUMPRODUCT(Q33:Q37,M60:M64)+SUMPRODUCT(Q42:Q44,M69:M71)</f>
        <v>100381.80249999999</v>
      </c>
      <c r="R171" s="203">
        <f>SUMPRODUCT(Q33:Q37,E60:E64)+SUMPRODUCT(Q42:Q44,E69:E71)</f>
        <v>103115.48569999999</v>
      </c>
      <c r="T171" s="55">
        <f>Q73</f>
        <v>82891.936000000002</v>
      </c>
      <c r="U171" s="55">
        <f>T171-($Q$172*$Q171/($Q$170+$Q$171))</f>
        <v>80155.727848092487</v>
      </c>
      <c r="W171" s="55">
        <f>+T171-Q171</f>
        <v>-17489.866499999989</v>
      </c>
      <c r="X171" s="55">
        <f>-Q171+U171</f>
        <v>-20226.074651907504</v>
      </c>
      <c r="Z171" s="145"/>
      <c r="AA171" s="85"/>
      <c r="AC171" s="81"/>
      <c r="AU171" s="82"/>
      <c r="AV171" s="82"/>
      <c r="AW171" s="82"/>
      <c r="AX171" s="82"/>
      <c r="AY171" s="82"/>
    </row>
    <row r="172" spans="1:51" ht="15" x14ac:dyDescent="0.4">
      <c r="A172" s="22"/>
      <c r="B172" s="13" t="s">
        <v>81</v>
      </c>
      <c r="I172" s="86"/>
      <c r="J172" s="86"/>
      <c r="K172" s="86"/>
      <c r="L172" s="86"/>
      <c r="M172" s="86"/>
      <c r="P172" s="13" t="s">
        <v>191</v>
      </c>
      <c r="Q172" s="203">
        <f>SUM(W60:W64,W69:W71)/1000</f>
        <v>4242.5729285309999</v>
      </c>
      <c r="R172" s="55">
        <f>SUM(R170:R171)</f>
        <v>159889</v>
      </c>
      <c r="T172" s="13">
        <v>0</v>
      </c>
      <c r="U172" s="55">
        <v>0</v>
      </c>
      <c r="W172" s="55">
        <f>+T172-Q172</f>
        <v>-4242.5729285309999</v>
      </c>
      <c r="X172" s="55"/>
      <c r="Z172" s="85"/>
      <c r="AU172" s="82">
        <f>AU160*E160/1000</f>
        <v>7872.9567666676585</v>
      </c>
      <c r="AV172" s="82">
        <f>AV160*F160/1000</f>
        <v>288754.59779141046</v>
      </c>
      <c r="AW172" s="82">
        <f>AW160*G160/1000</f>
        <v>200349.19207441181</v>
      </c>
      <c r="AX172" s="82">
        <f>AX160*H160/1000</f>
        <v>4036.1903047626761</v>
      </c>
      <c r="AY172" s="82">
        <f>AY160*I160/1000</f>
        <v>3378.9459610878675</v>
      </c>
    </row>
    <row r="173" spans="1:51" x14ac:dyDescent="0.25">
      <c r="A173" s="22"/>
      <c r="D173" s="89" t="s">
        <v>82</v>
      </c>
      <c r="E173" s="137">
        <v>122</v>
      </c>
      <c r="G173" s="89" t="s">
        <v>83</v>
      </c>
      <c r="H173" s="90">
        <v>4</v>
      </c>
      <c r="I173" s="86"/>
      <c r="J173" s="86"/>
      <c r="K173" s="86"/>
      <c r="L173" s="86"/>
      <c r="M173" s="278"/>
      <c r="N173" s="279"/>
      <c r="Q173" s="162">
        <f>SUM(Q170:Q172)</f>
        <v>159887.57292853101</v>
      </c>
      <c r="R173" s="26"/>
      <c r="S173" s="26"/>
      <c r="T173" s="26"/>
      <c r="U173" s="26"/>
      <c r="V173" s="26"/>
      <c r="W173" s="26"/>
      <c r="X173" s="26"/>
      <c r="Z173" s="145"/>
      <c r="AA173" s="145"/>
      <c r="AC173" s="81"/>
      <c r="AU173" s="81">
        <f>AU172-AU165-AU168</f>
        <v>-158.57599239811134</v>
      </c>
      <c r="AV173" s="81">
        <f>AV172-AV165-AV168</f>
        <v>-6516.1466671092785</v>
      </c>
      <c r="AW173" s="81">
        <f>AW172-AW165-AW168</f>
        <v>-3471.056235430442</v>
      </c>
      <c r="AX173" s="81">
        <f>AX172-AX165-AX168</f>
        <v>-64.780389373180697</v>
      </c>
      <c r="AY173" s="81">
        <f>AY172-AY165-AY168</f>
        <v>-104.05529053871078</v>
      </c>
    </row>
    <row r="174" spans="1:51" ht="15" x14ac:dyDescent="0.4">
      <c r="A174" s="22"/>
      <c r="D174" s="91" t="s">
        <v>84</v>
      </c>
      <c r="E174" s="90">
        <f>31+30+31+31+28+31+30+31</f>
        <v>243</v>
      </c>
      <c r="G174" s="91" t="s">
        <v>85</v>
      </c>
      <c r="H174" s="90">
        <v>8</v>
      </c>
      <c r="I174" s="86"/>
      <c r="J174" s="86"/>
      <c r="K174" s="86"/>
      <c r="L174" s="86"/>
      <c r="M174" s="278"/>
      <c r="N174" s="279"/>
      <c r="Q174" s="55"/>
      <c r="R174" s="55"/>
      <c r="T174" s="55"/>
      <c r="U174" s="55"/>
      <c r="W174" s="55"/>
      <c r="X174" s="55"/>
      <c r="Z174" s="85"/>
      <c r="AA174" s="85"/>
      <c r="AX174" s="81">
        <f>SUM(AX166:AX167)+SUM(AX169:AX170)</f>
        <v>4147.9280404754627</v>
      </c>
    </row>
    <row r="175" spans="1:51" x14ac:dyDescent="0.25">
      <c r="A175" s="22"/>
      <c r="D175" s="293"/>
      <c r="E175" s="293"/>
      <c r="F175" s="294"/>
      <c r="G175" s="89" t="s">
        <v>86</v>
      </c>
      <c r="H175" s="13">
        <f>+H173+H174</f>
        <v>12</v>
      </c>
      <c r="I175" s="86"/>
      <c r="J175" s="86"/>
      <c r="K175" s="86"/>
      <c r="L175" s="86"/>
      <c r="M175" s="86"/>
      <c r="N175" s="86"/>
      <c r="O175" s="87" t="s">
        <v>256</v>
      </c>
      <c r="Q175" s="55"/>
      <c r="R175" s="55"/>
      <c r="T175" s="55"/>
      <c r="U175" s="55"/>
      <c r="W175" s="55"/>
      <c r="X175" s="55"/>
      <c r="Z175" s="145"/>
      <c r="AA175" s="145"/>
      <c r="AC175" s="81"/>
    </row>
    <row r="176" spans="1:51" x14ac:dyDescent="0.25">
      <c r="A176" s="22"/>
      <c r="B176" s="21" t="s">
        <v>158</v>
      </c>
      <c r="C176" s="92"/>
      <c r="D176" s="93"/>
      <c r="L176" s="94"/>
      <c r="N176" s="280" t="s">
        <v>256</v>
      </c>
      <c r="Q176" s="55"/>
      <c r="R176" s="55"/>
      <c r="T176" s="55"/>
      <c r="U176" s="55"/>
      <c r="W176" s="55"/>
      <c r="X176" s="55"/>
      <c r="Z176" s="145"/>
      <c r="AA176" s="145"/>
      <c r="AC176" s="81"/>
    </row>
    <row r="177" spans="1:50" x14ac:dyDescent="0.25">
      <c r="A177" s="22"/>
      <c r="B177" s="406"/>
      <c r="C177" s="92"/>
      <c r="D177" s="458"/>
      <c r="E177" s="93"/>
      <c r="G177" s="413"/>
      <c r="H177" s="84"/>
      <c r="L177" s="94"/>
      <c r="Q177" s="55"/>
      <c r="R177" s="55"/>
      <c r="T177" s="55"/>
      <c r="U177" s="55"/>
      <c r="W177" s="55"/>
      <c r="X177" s="55"/>
      <c r="Z177" s="145"/>
      <c r="AA177" s="145"/>
      <c r="AC177" s="81"/>
    </row>
    <row r="178" spans="1:50" x14ac:dyDescent="0.25">
      <c r="A178" s="22"/>
      <c r="Q178" s="55"/>
      <c r="R178" s="55"/>
      <c r="T178" s="55"/>
      <c r="U178" s="55"/>
      <c r="W178" s="55"/>
      <c r="X178" s="55"/>
      <c r="Z178" s="145"/>
      <c r="AA178" s="145"/>
      <c r="AC178" s="81"/>
    </row>
    <row r="179" spans="1:50" ht="15" x14ac:dyDescent="0.4">
      <c r="A179" s="22"/>
      <c r="B179" s="21" t="s">
        <v>87</v>
      </c>
      <c r="C179" s="13" t="s">
        <v>25</v>
      </c>
      <c r="D179" s="11">
        <v>216.11</v>
      </c>
      <c r="E179" s="93" t="s">
        <v>88</v>
      </c>
      <c r="G179" s="89" t="s">
        <v>162</v>
      </c>
      <c r="H179" s="81">
        <f>ROUND(D179*E173*J$168,0)</f>
        <v>123944894</v>
      </c>
      <c r="I179" s="89"/>
      <c r="J179" s="89"/>
      <c r="K179" s="89"/>
      <c r="L179" s="143"/>
      <c r="Q179" s="55"/>
      <c r="R179" s="55"/>
      <c r="T179" s="55"/>
      <c r="U179" s="55"/>
      <c r="W179" s="55"/>
      <c r="X179" s="55"/>
      <c r="Z179" s="85"/>
      <c r="AA179" s="85"/>
      <c r="AC179" s="81"/>
    </row>
    <row r="180" spans="1:50" ht="15" x14ac:dyDescent="0.4">
      <c r="A180" s="22"/>
      <c r="B180" s="21"/>
      <c r="C180" s="13" t="s">
        <v>26</v>
      </c>
      <c r="D180" s="411">
        <f>D179</f>
        <v>216.11</v>
      </c>
      <c r="E180" s="93" t="s">
        <v>88</v>
      </c>
      <c r="G180" s="122" t="s">
        <v>163</v>
      </c>
      <c r="H180" s="123">
        <f>ROUND(D180*E174*J$168,0)</f>
        <v>246873846</v>
      </c>
      <c r="I180" s="89"/>
      <c r="J180" s="89"/>
      <c r="K180" s="89"/>
      <c r="L180" s="143"/>
      <c r="P180" s="406"/>
      <c r="Z180" s="145"/>
      <c r="AA180" s="145"/>
      <c r="AC180" s="81"/>
    </row>
    <row r="181" spans="1:50" x14ac:dyDescent="0.25">
      <c r="A181" s="22"/>
      <c r="B181" s="493"/>
      <c r="C181" s="493"/>
      <c r="D181" s="493"/>
      <c r="E181" s="493"/>
      <c r="F181" s="493"/>
      <c r="G181" s="89" t="s">
        <v>164</v>
      </c>
      <c r="H181" s="81">
        <f>SUM(H179:H180)</f>
        <v>370818740</v>
      </c>
      <c r="I181" s="89"/>
      <c r="J181" s="89"/>
      <c r="K181" s="89"/>
      <c r="L181" s="143"/>
      <c r="P181" s="435"/>
      <c r="Q181" s="435"/>
      <c r="R181" s="435"/>
      <c r="S181" s="435"/>
      <c r="T181" s="435"/>
      <c r="U181" s="435"/>
    </row>
    <row r="182" spans="1:50" x14ac:dyDescent="0.25">
      <c r="A182" s="22"/>
      <c r="B182" s="493"/>
      <c r="C182" s="493"/>
      <c r="D182" s="493"/>
      <c r="E182" s="493"/>
      <c r="F182" s="493"/>
      <c r="G182" s="89"/>
      <c r="H182" s="81"/>
      <c r="I182" s="89"/>
      <c r="J182" s="89"/>
      <c r="K182" s="89"/>
      <c r="L182" s="143"/>
      <c r="P182" s="435"/>
      <c r="Q182" s="435"/>
      <c r="R182" s="435"/>
      <c r="S182" s="435"/>
      <c r="T182" s="435"/>
      <c r="U182" s="435"/>
    </row>
    <row r="183" spans="1:50" x14ac:dyDescent="0.25">
      <c r="A183" s="22"/>
      <c r="B183" s="493"/>
      <c r="C183" s="493"/>
      <c r="D183" s="493"/>
      <c r="E183" s="493"/>
      <c r="F183" s="493"/>
      <c r="G183" s="89"/>
      <c r="H183" s="81"/>
      <c r="I183" s="89"/>
      <c r="J183" s="89"/>
      <c r="K183" s="89"/>
      <c r="L183" s="143"/>
      <c r="P183" s="435"/>
      <c r="Q183" s="435"/>
      <c r="R183" s="435"/>
      <c r="S183" s="435"/>
      <c r="T183" s="435"/>
      <c r="U183" s="435"/>
    </row>
    <row r="184" spans="1:50" x14ac:dyDescent="0.25">
      <c r="A184" s="22"/>
      <c r="B184" s="21"/>
      <c r="D184" s="11"/>
      <c r="E184" s="93"/>
      <c r="G184" s="89"/>
      <c r="H184" s="81"/>
      <c r="I184" s="89"/>
      <c r="J184" s="89"/>
      <c r="K184" s="89"/>
      <c r="L184" s="143"/>
      <c r="P184" s="435"/>
      <c r="Q184" s="435"/>
      <c r="R184" s="435"/>
      <c r="S184" s="435"/>
      <c r="T184" s="435"/>
      <c r="U184" s="435"/>
    </row>
    <row r="185" spans="1:50" x14ac:dyDescent="0.25">
      <c r="A185" s="22"/>
      <c r="B185" s="13" t="s">
        <v>153</v>
      </c>
      <c r="I185" s="89"/>
      <c r="J185" s="89"/>
      <c r="K185" s="89"/>
      <c r="L185" s="143"/>
      <c r="P185" s="435"/>
      <c r="Q185" s="435"/>
      <c r="R185" s="435"/>
      <c r="S185" s="435"/>
      <c r="T185" s="435"/>
      <c r="U185" s="435"/>
    </row>
    <row r="186" spans="1:50" x14ac:dyDescent="0.25">
      <c r="A186" s="22"/>
      <c r="B186" s="17" t="s">
        <v>154</v>
      </c>
      <c r="I186" s="89"/>
      <c r="J186" s="89"/>
      <c r="K186" s="89"/>
      <c r="L186" s="143"/>
      <c r="P186" s="435"/>
      <c r="Q186" s="435"/>
      <c r="R186" s="435"/>
      <c r="S186" s="435"/>
      <c r="T186" s="435"/>
      <c r="U186" s="435"/>
    </row>
    <row r="187" spans="1:50" x14ac:dyDescent="0.25">
      <c r="A187" s="22"/>
      <c r="B187" s="17"/>
      <c r="C187" s="105" t="str">
        <f>" ---------- Rate "&amp;C30&amp;" ----------"</f>
        <v xml:space="preserve"> ---------- Rate  ----------</v>
      </c>
      <c r="D187" s="106"/>
      <c r="E187" s="106"/>
      <c r="I187" s="89"/>
      <c r="J187" s="89"/>
      <c r="K187" s="89"/>
      <c r="L187" s="143"/>
      <c r="P187" s="292"/>
      <c r="Q187" s="292"/>
      <c r="R187" s="292"/>
      <c r="S187" s="292"/>
      <c r="T187" s="292"/>
      <c r="U187" s="292"/>
    </row>
    <row r="188" spans="1:50" x14ac:dyDescent="0.25">
      <c r="A188" s="22"/>
      <c r="C188" s="38" t="s">
        <v>140</v>
      </c>
      <c r="E188" s="38" t="s">
        <v>141</v>
      </c>
      <c r="I188" s="89"/>
      <c r="J188" s="89"/>
      <c r="K188" s="89"/>
      <c r="L188" s="143"/>
      <c r="P188" s="292"/>
      <c r="Q188" s="292"/>
      <c r="R188" s="292"/>
      <c r="S188" s="292"/>
      <c r="T188" s="292"/>
      <c r="U188" s="292"/>
    </row>
    <row r="189" spans="1:50" x14ac:dyDescent="0.25">
      <c r="A189" s="22"/>
      <c r="B189" s="89" t="s">
        <v>142</v>
      </c>
      <c r="C189" s="107"/>
      <c r="E189" s="118">
        <f>SUM(R65/(R65+R66))</f>
        <v>0.52890352914327898</v>
      </c>
      <c r="F189" s="112"/>
      <c r="I189" s="89"/>
      <c r="J189" s="89"/>
      <c r="K189" s="89"/>
      <c r="L189" s="143"/>
      <c r="AX189" s="118">
        <f>(37892894+37550803+37185127+37530967+385012043+415293692+408537249+370243592)/(37892894+37550803+37185127+37530967+385012043+415293692+408537249+370243592+28757462+38416028+35549073+25251802+243248593+403536675+352244990+172217638)</f>
        <v>0.5709969556930804</v>
      </c>
    </row>
    <row r="190" spans="1:50" x14ac:dyDescent="0.25">
      <c r="A190" s="22"/>
      <c r="B190" s="89" t="s">
        <v>144</v>
      </c>
      <c r="C190" s="108"/>
      <c r="E190" s="109">
        <f>1-E189</f>
        <v>0.47109647085672102</v>
      </c>
      <c r="G190" s="53"/>
      <c r="I190" s="89"/>
      <c r="J190" s="89"/>
      <c r="K190" s="89"/>
      <c r="L190" s="143"/>
    </row>
    <row r="191" spans="1:50" x14ac:dyDescent="0.25">
      <c r="A191" s="22"/>
      <c r="B191" s="110" t="s">
        <v>155</v>
      </c>
      <c r="C191" s="111">
        <v>0.86519999999999997</v>
      </c>
      <c r="D191" s="13" t="s">
        <v>143</v>
      </c>
      <c r="J191" s="89"/>
      <c r="K191" s="89"/>
      <c r="L191" s="143"/>
      <c r="P191" s="406"/>
    </row>
    <row r="192" spans="1:50" x14ac:dyDescent="0.25">
      <c r="A192" s="13"/>
      <c r="J192" s="89"/>
      <c r="K192" s="89"/>
      <c r="L192" s="143"/>
      <c r="P192" s="87"/>
      <c r="Q192" s="87"/>
      <c r="R192" s="87"/>
      <c r="S192" s="87"/>
      <c r="T192" s="87"/>
      <c r="U192" s="434"/>
    </row>
    <row r="193" spans="1:21" x14ac:dyDescent="0.25">
      <c r="A193" s="18" t="s">
        <v>89</v>
      </c>
      <c r="B193" s="16" t="s">
        <v>90</v>
      </c>
      <c r="Q193" s="434"/>
      <c r="R193" s="434"/>
      <c r="S193" s="434"/>
      <c r="T193" s="434"/>
      <c r="U193" s="434"/>
    </row>
    <row r="194" spans="1:21" x14ac:dyDescent="0.25">
      <c r="A194" s="18"/>
      <c r="B194" s="17" t="s">
        <v>445</v>
      </c>
      <c r="F194" s="468">
        <v>2</v>
      </c>
      <c r="G194" s="13" t="s">
        <v>92</v>
      </c>
      <c r="Q194" s="434"/>
      <c r="R194" s="434"/>
      <c r="S194" s="434"/>
      <c r="T194" s="434"/>
      <c r="U194" s="434"/>
    </row>
    <row r="195" spans="1:21" x14ac:dyDescent="0.25">
      <c r="A195" s="18"/>
      <c r="B195" s="17" t="s">
        <v>455</v>
      </c>
      <c r="F195" s="469">
        <v>8.4</v>
      </c>
      <c r="G195" s="13" t="s">
        <v>92</v>
      </c>
      <c r="Q195" s="434"/>
      <c r="R195" s="434"/>
      <c r="S195" s="434"/>
      <c r="T195" s="434"/>
      <c r="U195" s="434"/>
    </row>
    <row r="196" spans="1:21" x14ac:dyDescent="0.25">
      <c r="A196" s="22"/>
      <c r="B196" s="17" t="s">
        <v>444</v>
      </c>
      <c r="F196" s="466">
        <f>F194+F195</f>
        <v>10.4</v>
      </c>
      <c r="G196" s="13" t="s">
        <v>92</v>
      </c>
      <c r="P196" s="418"/>
      <c r="Q196" s="418"/>
      <c r="R196" s="418"/>
      <c r="S196" s="418"/>
      <c r="T196" s="418"/>
      <c r="U196" s="418"/>
    </row>
    <row r="197" spans="1:21" x14ac:dyDescent="0.25">
      <c r="A197" s="22"/>
      <c r="B197" s="17"/>
      <c r="F197" s="93"/>
    </row>
    <row r="198" spans="1:21" x14ac:dyDescent="0.25">
      <c r="A198" s="22"/>
      <c r="B198" s="16"/>
      <c r="E198" s="92"/>
      <c r="F198" s="93"/>
    </row>
    <row r="199" spans="1:21" x14ac:dyDescent="0.25">
      <c r="A199" s="18" t="s">
        <v>93</v>
      </c>
      <c r="B199" s="16" t="s">
        <v>167</v>
      </c>
    </row>
    <row r="200" spans="1:21" x14ac:dyDescent="0.25">
      <c r="A200" s="18"/>
      <c r="B200" s="16"/>
    </row>
    <row r="201" spans="1:21" x14ac:dyDescent="0.25">
      <c r="A201" s="18"/>
      <c r="B201" s="16"/>
      <c r="C201" s="26"/>
      <c r="D201" s="26"/>
      <c r="E201" s="26" t="str">
        <f>+E$13</f>
        <v>RT{1}</v>
      </c>
      <c r="F201" s="26" t="str">
        <f>+F$13</f>
        <v>RS{2}</v>
      </c>
      <c r="G201" s="26" t="str">
        <f>+G$13</f>
        <v>GS{3}</v>
      </c>
      <c r="H201" s="156" t="str">
        <f>+H$58</f>
        <v>GST {4}</v>
      </c>
      <c r="I201" s="26" t="str">
        <f>+I$13</f>
        <v>OL/SL</v>
      </c>
      <c r="J201" s="26"/>
      <c r="K201" s="26"/>
    </row>
    <row r="202" spans="1:21" x14ac:dyDescent="0.25">
      <c r="A202" s="18"/>
      <c r="B202" s="16"/>
    </row>
    <row r="203" spans="1:21" x14ac:dyDescent="0.25">
      <c r="A203" s="22"/>
      <c r="B203" s="89" t="s">
        <v>94</v>
      </c>
      <c r="C203" s="146"/>
      <c r="D203" s="146"/>
      <c r="E203" s="147">
        <v>3.8420000000000001</v>
      </c>
      <c r="F203" s="147">
        <v>4.6269999999999998</v>
      </c>
      <c r="G203" s="147">
        <v>4.6150000000000002</v>
      </c>
      <c r="H203" s="147">
        <v>3.69</v>
      </c>
      <c r="I203" s="147">
        <v>3.508</v>
      </c>
      <c r="J203" s="146"/>
      <c r="K203" s="146"/>
      <c r="L203" s="146"/>
      <c r="M203" s="146"/>
    </row>
    <row r="204" spans="1:21" x14ac:dyDescent="0.25">
      <c r="A204" s="22"/>
      <c r="B204" s="89"/>
      <c r="C204" s="146"/>
      <c r="D204" s="146"/>
      <c r="E204" s="146"/>
      <c r="F204" s="146"/>
      <c r="G204" s="146"/>
      <c r="H204" s="146"/>
      <c r="I204" s="146"/>
      <c r="J204" s="146"/>
      <c r="K204" s="146"/>
      <c r="L204" s="146"/>
      <c r="M204" s="146"/>
    </row>
    <row r="205" spans="1:21" x14ac:dyDescent="0.25">
      <c r="A205" s="22"/>
      <c r="B205" s="89" t="s">
        <v>131</v>
      </c>
      <c r="C205" s="146"/>
      <c r="D205" s="146"/>
      <c r="E205" s="147">
        <f>$H$181*(E$168/$J$168)/E$72</f>
        <v>29.660371777149312</v>
      </c>
      <c r="F205" s="147">
        <f>$H$181*(F$168/$J$168)/F$72</f>
        <v>26.246388819982869</v>
      </c>
      <c r="G205" s="147">
        <f>$H$181*(G$168/$J$168)/G$72</f>
        <v>21.576629998957902</v>
      </c>
      <c r="H205" s="147">
        <f>$H$181*(H$168/$J$168)/H$72</f>
        <v>26.787290688804941</v>
      </c>
      <c r="I205" s="147">
        <f>$H$181*(I$168/$J$168)/I$72</f>
        <v>0.15874173789763305</v>
      </c>
      <c r="J205" s="146"/>
      <c r="K205" s="146"/>
      <c r="L205" s="146"/>
      <c r="M205" s="146"/>
    </row>
    <row r="206" spans="1:21" x14ac:dyDescent="0.25">
      <c r="A206" s="22"/>
      <c r="B206" s="89" t="s">
        <v>198</v>
      </c>
      <c r="C206" s="146"/>
      <c r="D206" s="146"/>
      <c r="E206" s="147">
        <f>$H$179*(E$168/$J$168)/SUM(E65:E68)</f>
        <v>30.718707608677043</v>
      </c>
      <c r="F206" s="147">
        <f>$H$179*(F$168/$J$168)/SUM(F65:F68)</f>
        <v>21.123149552773079</v>
      </c>
      <c r="G206" s="147">
        <f>$H$179*(G$168/$J$168)/SUM(G65:G68)</f>
        <v>19.727964859976126</v>
      </c>
      <c r="H206" s="147"/>
      <c r="I206" s="147">
        <f>$H$179*(I$168/$J$168)/SUM(I65:I68)</f>
        <v>0.15926583317661322</v>
      </c>
      <c r="J206" s="146"/>
      <c r="K206" s="146"/>
      <c r="L206" s="146"/>
      <c r="M206" s="146"/>
    </row>
    <row r="207" spans="1:21" x14ac:dyDescent="0.25">
      <c r="A207" s="22"/>
      <c r="B207" s="89" t="s">
        <v>199</v>
      </c>
      <c r="C207" s="146"/>
      <c r="D207" s="146"/>
      <c r="E207" s="147">
        <f>$H$179*(E$168/$J$168)/R165</f>
        <v>75.170652389301935</v>
      </c>
      <c r="F207" s="147"/>
      <c r="G207" s="147"/>
      <c r="H207" s="147">
        <f>$H$179*(H$168/$J$168)/Q153</f>
        <v>69.517214039100651</v>
      </c>
      <c r="I207" s="147"/>
      <c r="J207" s="146"/>
      <c r="K207" s="146"/>
      <c r="L207" s="146"/>
      <c r="M207" s="241"/>
    </row>
    <row r="208" spans="1:21" x14ac:dyDescent="0.25">
      <c r="A208" s="22"/>
      <c r="B208" s="89" t="s">
        <v>201</v>
      </c>
      <c r="C208" s="146"/>
      <c r="D208" s="146"/>
      <c r="E208" s="147">
        <f>$H$180*(E$168/$J$168)/(E72-SUM(E65:E68))</f>
        <v>29.156055614035544</v>
      </c>
      <c r="F208" s="147">
        <f>$H$180*(F$168/$J$168)/(F72-SUM(F65:F68))</f>
        <v>29.885545079063256</v>
      </c>
      <c r="G208" s="147">
        <f>$H$180*(G$168/$J$168)/(G72-SUM(G65:G68))</f>
        <v>22.64185545665439</v>
      </c>
      <c r="H208" s="147"/>
      <c r="I208" s="147">
        <f>$H$180*(I$168/$J$168)/(I72-SUM(I65:I68))</f>
        <v>0.15847991031021905</v>
      </c>
      <c r="J208" s="146"/>
      <c r="K208" s="146"/>
      <c r="L208" s="146"/>
      <c r="M208" s="146"/>
    </row>
    <row r="209" spans="1:18" x14ac:dyDescent="0.25">
      <c r="A209" s="22"/>
      <c r="B209" s="89" t="s">
        <v>200</v>
      </c>
      <c r="C209" s="146"/>
      <c r="D209" s="146"/>
      <c r="E209" s="147">
        <f>$H$180*(E$168/$J$168)/R170</f>
        <v>82.111044798798531</v>
      </c>
      <c r="F209" s="148"/>
      <c r="G209" s="148"/>
      <c r="H209" s="147">
        <f>$H$180*(H$168/$J$168)/Q157</f>
        <v>56.199167397800068</v>
      </c>
      <c r="I209" s="147"/>
      <c r="J209" s="146"/>
      <c r="K209" s="146"/>
      <c r="L209" s="146"/>
      <c r="M209" s="241" t="s">
        <v>256</v>
      </c>
    </row>
    <row r="210" spans="1:18" x14ac:dyDescent="0.25">
      <c r="A210" s="22"/>
      <c r="B210" s="89"/>
      <c r="C210" s="146"/>
      <c r="D210" s="146"/>
      <c r="E210" s="147"/>
      <c r="F210" s="147"/>
      <c r="G210" s="147"/>
      <c r="H210" s="147"/>
      <c r="I210" s="147"/>
      <c r="J210" s="146"/>
      <c r="K210" s="146"/>
      <c r="L210" s="146"/>
      <c r="M210" s="146"/>
    </row>
    <row r="211" spans="1:18" ht="15.6" x14ac:dyDescent="0.3">
      <c r="A211" s="22"/>
      <c r="B211" s="534" t="str">
        <f>$B$1</f>
        <v xml:space="preserve">Jersey Central Power &amp; Light </v>
      </c>
      <c r="C211" s="534"/>
      <c r="D211" s="534"/>
      <c r="E211" s="534"/>
      <c r="F211" s="534"/>
      <c r="G211" s="534"/>
      <c r="H211" s="534"/>
      <c r="I211" s="534"/>
      <c r="J211" s="534"/>
      <c r="K211" s="534"/>
      <c r="L211" s="534"/>
      <c r="M211" s="146"/>
    </row>
    <row r="212" spans="1:18" ht="15.6" x14ac:dyDescent="0.3">
      <c r="A212" s="22"/>
      <c r="B212" s="534" t="str">
        <f>$B$2</f>
        <v>Attachment 2</v>
      </c>
      <c r="C212" s="534"/>
      <c r="D212" s="534"/>
      <c r="E212" s="534"/>
      <c r="F212" s="534"/>
      <c r="G212" s="534"/>
      <c r="H212" s="534"/>
      <c r="I212" s="534"/>
      <c r="J212" s="534"/>
      <c r="K212" s="534"/>
      <c r="L212" s="534"/>
      <c r="M212" s="146"/>
      <c r="N212" s="146"/>
      <c r="O212" s="146"/>
      <c r="P212" s="146"/>
      <c r="Q212" s="146"/>
      <c r="R212" s="146"/>
    </row>
    <row r="213" spans="1:18" x14ac:dyDescent="0.25">
      <c r="A213" s="22"/>
      <c r="E213" s="146"/>
      <c r="F213" s="146"/>
      <c r="G213" s="146"/>
      <c r="H213" s="146"/>
      <c r="L213" s="146"/>
      <c r="M213" s="146"/>
      <c r="N213" s="146"/>
      <c r="O213" s="146"/>
      <c r="P213" s="146"/>
      <c r="Q213" s="146"/>
      <c r="R213" s="146"/>
    </row>
    <row r="214" spans="1:18" x14ac:dyDescent="0.25">
      <c r="A214" s="22"/>
      <c r="M214" s="146"/>
      <c r="N214" s="146"/>
      <c r="O214" s="146"/>
      <c r="P214" s="146"/>
      <c r="Q214" s="146"/>
      <c r="R214" s="146"/>
    </row>
    <row r="215" spans="1:18" x14ac:dyDescent="0.25">
      <c r="A215" s="18" t="s">
        <v>95</v>
      </c>
      <c r="B215" s="16" t="s">
        <v>96</v>
      </c>
      <c r="M215" s="146"/>
      <c r="N215" s="146"/>
      <c r="O215" s="146"/>
      <c r="P215" s="146"/>
      <c r="Q215" s="146"/>
      <c r="R215" s="146"/>
    </row>
    <row r="216" spans="1:18" x14ac:dyDescent="0.25">
      <c r="A216" s="22"/>
      <c r="B216" s="16"/>
      <c r="M216" s="146"/>
      <c r="N216" s="146"/>
      <c r="O216" s="146"/>
      <c r="P216" s="146"/>
      <c r="Q216" s="146"/>
      <c r="R216" s="146"/>
    </row>
    <row r="217" spans="1:18" x14ac:dyDescent="0.25">
      <c r="A217" s="22"/>
      <c r="B217" s="16" t="s">
        <v>97</v>
      </c>
      <c r="M217" s="146"/>
      <c r="N217" s="146"/>
      <c r="O217" s="146"/>
      <c r="P217" s="146"/>
      <c r="Q217" s="146"/>
      <c r="R217" s="146"/>
    </row>
    <row r="218" spans="1:18" x14ac:dyDescent="0.25">
      <c r="A218" s="22"/>
      <c r="B218" s="17" t="s">
        <v>219</v>
      </c>
      <c r="M218" s="146"/>
      <c r="N218" s="146"/>
      <c r="O218" s="146"/>
      <c r="P218" s="146"/>
      <c r="Q218" s="146"/>
      <c r="R218" s="146"/>
    </row>
    <row r="219" spans="1:18" x14ac:dyDescent="0.25">
      <c r="A219" s="22"/>
      <c r="B219" s="17" t="s">
        <v>21</v>
      </c>
      <c r="M219" s="146"/>
      <c r="N219" s="146"/>
      <c r="O219" s="146"/>
      <c r="P219" s="146"/>
      <c r="Q219" s="146"/>
      <c r="R219" s="146"/>
    </row>
    <row r="220" spans="1:18" x14ac:dyDescent="0.25">
      <c r="A220" s="22"/>
      <c r="C220" s="26"/>
      <c r="D220" s="26"/>
      <c r="E220" s="26" t="str">
        <f>+E$13</f>
        <v>RT{1}</v>
      </c>
      <c r="F220" s="26" t="str">
        <f>+F$13</f>
        <v>RS{2}</v>
      </c>
      <c r="G220" s="26" t="str">
        <f>+G$13</f>
        <v>GS{3}</v>
      </c>
      <c r="H220" s="156" t="str">
        <f>+H$58</f>
        <v>GST {4}</v>
      </c>
      <c r="I220" s="26" t="str">
        <f>+I$13</f>
        <v>OL/SL</v>
      </c>
      <c r="J220" s="26"/>
      <c r="K220" s="26"/>
      <c r="M220" s="146"/>
      <c r="N220" s="146"/>
      <c r="O220" s="146"/>
      <c r="P220" s="146"/>
      <c r="Q220" s="146"/>
      <c r="R220" s="146"/>
    </row>
    <row r="221" spans="1:18" x14ac:dyDescent="0.25">
      <c r="A221" s="22"/>
      <c r="C221" s="26"/>
      <c r="D221" s="26"/>
      <c r="E221" s="74"/>
      <c r="F221" s="26"/>
      <c r="G221" s="26"/>
      <c r="M221" s="146"/>
      <c r="N221" s="146"/>
      <c r="O221" s="146"/>
      <c r="P221" s="146"/>
      <c r="Q221" s="146"/>
      <c r="R221" s="146"/>
    </row>
    <row r="222" spans="1:18" x14ac:dyDescent="0.25">
      <c r="A222" s="22"/>
      <c r="B222" s="28" t="s">
        <v>17</v>
      </c>
      <c r="C222" s="74"/>
      <c r="D222" s="74"/>
      <c r="E222" s="74">
        <f>+E152+(E$95*$F$196)+E$203+E206</f>
        <v>76.596550265324325</v>
      </c>
      <c r="F222" s="74">
        <f>+F152+(F$95*$F$196)+F$203+F206</f>
        <v>67.848018672440844</v>
      </c>
      <c r="G222" s="74">
        <f>+G152+(G$95*$F$196)+G$203+G206</f>
        <v>67.38557466477765</v>
      </c>
      <c r="H222" s="74"/>
      <c r="I222" s="74">
        <f>+I152+(I$95*$F$196)+I$203+I206</f>
        <v>41.216502954531968</v>
      </c>
      <c r="J222" s="74"/>
      <c r="K222" s="74"/>
      <c r="L222" s="74"/>
      <c r="M222" s="146"/>
      <c r="N222" s="146"/>
      <c r="O222" s="146"/>
      <c r="P222" s="146"/>
      <c r="Q222" s="146"/>
      <c r="R222" s="146"/>
    </row>
    <row r="223" spans="1:18" x14ac:dyDescent="0.25">
      <c r="A223" s="22"/>
      <c r="B223" s="77" t="s">
        <v>72</v>
      </c>
      <c r="C223" s="74"/>
      <c r="D223" s="74"/>
      <c r="E223" s="74">
        <f>+E153+(E$95*$F$196)+E$203+E$207</f>
        <v>130.64842309476643</v>
      </c>
      <c r="F223" s="74"/>
      <c r="G223" s="74"/>
      <c r="H223" s="74">
        <f>+H153+(H$95*$F$196)+H$203+H$207</f>
        <v>124.94659496692879</v>
      </c>
      <c r="I223" s="74"/>
      <c r="J223" s="74"/>
      <c r="K223" s="74"/>
      <c r="M223" s="146"/>
      <c r="N223" s="146"/>
      <c r="O223" s="146"/>
      <c r="P223" s="146"/>
      <c r="Q223" s="146"/>
      <c r="R223" s="146"/>
    </row>
    <row r="224" spans="1:18" x14ac:dyDescent="0.25">
      <c r="A224" s="22"/>
      <c r="B224" s="77" t="s">
        <v>73</v>
      </c>
      <c r="C224" s="74"/>
      <c r="D224" s="74"/>
      <c r="E224" s="74">
        <f>+E154+(E$95*$F$196)+E$203</f>
        <v>39.244053309854067</v>
      </c>
      <c r="F224" s="74"/>
      <c r="G224" s="74"/>
      <c r="H224" s="74">
        <f>+H154+(H$95*$F$196)+H$203</f>
        <v>39.604484155498646</v>
      </c>
      <c r="I224" s="74"/>
      <c r="J224" s="74"/>
      <c r="K224" s="74"/>
      <c r="M224" s="146"/>
      <c r="N224" s="146"/>
      <c r="O224" s="146"/>
      <c r="P224" s="146"/>
      <c r="Q224" s="146"/>
      <c r="R224" s="146"/>
    </row>
    <row r="225" spans="1:18" x14ac:dyDescent="0.25">
      <c r="A225" s="22"/>
      <c r="B225" s="89" t="s">
        <v>142</v>
      </c>
      <c r="C225" s="74"/>
      <c r="D225" s="74"/>
      <c r="E225" s="74"/>
      <c r="F225" s="74">
        <f>(F222*SUM(F65:F68)-C191*10*E190*SUM(F65:F68))/SUM(F65:F68)</f>
        <v>63.772092006588494</v>
      </c>
      <c r="G225" s="74"/>
      <c r="H225" s="74"/>
      <c r="I225" s="74"/>
      <c r="J225" s="74"/>
      <c r="K225" s="74"/>
      <c r="M225" s="146"/>
      <c r="N225" s="146"/>
      <c r="O225" s="146"/>
      <c r="P225" s="146"/>
      <c r="Q225" s="146"/>
      <c r="R225" s="146"/>
    </row>
    <row r="226" spans="1:18" x14ac:dyDescent="0.25">
      <c r="A226" s="22"/>
      <c r="B226" s="89" t="s">
        <v>144</v>
      </c>
      <c r="C226" s="74"/>
      <c r="D226" s="74"/>
      <c r="E226" s="74"/>
      <c r="F226" s="74">
        <f>+F225+C191*10</f>
        <v>72.424092006588495</v>
      </c>
      <c r="G226" s="120"/>
      <c r="H226" s="74"/>
      <c r="I226" s="74"/>
      <c r="J226" s="74"/>
      <c r="K226" s="74"/>
      <c r="M226" s="146"/>
      <c r="N226" s="146"/>
      <c r="O226" s="146"/>
      <c r="P226" s="146"/>
      <c r="Q226" s="146"/>
      <c r="R226" s="146"/>
    </row>
    <row r="227" spans="1:18" x14ac:dyDescent="0.25">
      <c r="A227" s="22"/>
      <c r="C227" s="74"/>
      <c r="D227" s="74"/>
      <c r="E227" s="74"/>
      <c r="F227" s="74"/>
      <c r="G227" s="74"/>
      <c r="H227" s="74"/>
      <c r="I227" s="74"/>
      <c r="J227" s="74"/>
      <c r="K227" s="74"/>
      <c r="M227" s="146"/>
      <c r="N227" s="146"/>
      <c r="O227" s="146"/>
      <c r="P227" s="146"/>
      <c r="Q227" s="146"/>
      <c r="R227" s="146"/>
    </row>
    <row r="228" spans="1:18" x14ac:dyDescent="0.25">
      <c r="A228" s="22"/>
      <c r="B228" s="28" t="s">
        <v>18</v>
      </c>
      <c r="C228" s="74"/>
      <c r="D228" s="74"/>
      <c r="E228" s="74">
        <f>+E156+(E$95*$F$196)+E$203+E208</f>
        <v>79.375115758585594</v>
      </c>
      <c r="F228" s="74">
        <f>+F156+(F$95*$F$196)+F$203+F208</f>
        <v>80.482557126738044</v>
      </c>
      <c r="G228" s="74">
        <f>+G156+(G$95*$F$196)+G$203+G208</f>
        <v>73.554476627488668</v>
      </c>
      <c r="H228" s="74"/>
      <c r="I228" s="74">
        <f>+I156+(I$95*$F$196)+I$203+I208</f>
        <v>46.678510529077947</v>
      </c>
      <c r="J228" s="74"/>
      <c r="K228" s="74"/>
      <c r="L228" s="74"/>
      <c r="M228" s="146"/>
      <c r="N228" s="146"/>
      <c r="O228" s="146"/>
      <c r="P228" s="146"/>
      <c r="Q228" s="146"/>
      <c r="R228" s="146"/>
    </row>
    <row r="229" spans="1:18" x14ac:dyDescent="0.25">
      <c r="A229" s="22"/>
      <c r="B229" s="77" t="s">
        <v>72</v>
      </c>
      <c r="C229" s="74"/>
      <c r="D229" s="74"/>
      <c r="E229" s="74">
        <f>+E157+(E$95*$F$196)+E$203+E$209</f>
        <v>141.84480564306935</v>
      </c>
      <c r="F229" s="74"/>
      <c r="G229" s="74"/>
      <c r="H229" s="74">
        <f>+H157+(H$95*$F$196)+H$203+H$209</f>
        <v>112.87407908406101</v>
      </c>
      <c r="I229" s="74"/>
      <c r="J229" s="74"/>
      <c r="K229" s="74"/>
      <c r="M229" s="146"/>
      <c r="N229" s="146"/>
      <c r="O229" s="146"/>
      <c r="P229" s="146"/>
      <c r="Q229" s="146"/>
      <c r="R229" s="146"/>
    </row>
    <row r="230" spans="1:18" x14ac:dyDescent="0.25">
      <c r="A230" s="22"/>
      <c r="B230" s="77" t="s">
        <v>73</v>
      </c>
      <c r="C230" s="74"/>
      <c r="D230" s="74"/>
      <c r="E230" s="74">
        <f>+E158+(E$95*$F$196)+E$203</f>
        <v>44.980022162224415</v>
      </c>
      <c r="F230" s="74"/>
      <c r="G230" s="74"/>
      <c r="H230" s="74">
        <f>+H158+(H$95*$F$196)+H$203</f>
        <v>45.648749048221042</v>
      </c>
      <c r="I230" s="74"/>
      <c r="J230" s="74"/>
      <c r="K230" s="74"/>
      <c r="M230" s="146"/>
      <c r="N230" s="146"/>
      <c r="O230" s="146"/>
      <c r="P230" s="146"/>
      <c r="Q230" s="146"/>
      <c r="R230" s="146"/>
    </row>
    <row r="231" spans="1:18" x14ac:dyDescent="0.25">
      <c r="A231" s="22"/>
      <c r="C231" s="74"/>
      <c r="D231" s="74"/>
      <c r="E231" s="74"/>
      <c r="F231" s="74"/>
      <c r="G231" s="74"/>
      <c r="H231" s="74"/>
      <c r="I231" s="74"/>
      <c r="J231" s="74"/>
      <c r="K231" s="74"/>
      <c r="M231" s="146"/>
      <c r="N231" s="146"/>
      <c r="O231" s="146"/>
      <c r="P231" s="146"/>
      <c r="Q231" s="146"/>
      <c r="R231" s="146"/>
    </row>
    <row r="232" spans="1:18" x14ac:dyDescent="0.25">
      <c r="A232" s="22"/>
      <c r="B232" s="13" t="s">
        <v>98</v>
      </c>
      <c r="C232" s="74"/>
      <c r="D232" s="74"/>
      <c r="E232" s="74">
        <f>+E160+(E$95*$F$196)+E$203+E205</f>
        <v>78.478386676661415</v>
      </c>
      <c r="F232" s="74">
        <f>+F160+(F$95*$F$196)+F$203+F205</f>
        <v>75.235240960902487</v>
      </c>
      <c r="G232" s="74">
        <f>+G160+(G$95*$F$196)+G$203+G205</f>
        <v>71.299322839558315</v>
      </c>
      <c r="H232" s="74">
        <f>((H223*SUMPRODUCT(H38:H41,H65:H68)+H224*SUMPRODUCT(T38:T41,H65:H68))+(H229*(SUMPRODUCT(H33:H37,H60:H64)+SUMPRODUCT(H42:H44,H69:H71))+H230*(SUMPRODUCT(T33:T37,H60:H64)+SUMPRODUCT(T42:T44,H69:H71))))/H72</f>
        <v>76.302819471264144</v>
      </c>
      <c r="I232" s="74">
        <f>+I160+(I$95*$F$196)+I$203+I205</f>
        <v>44.858860882997938</v>
      </c>
      <c r="J232" s="74"/>
      <c r="K232" s="74"/>
      <c r="L232" s="74"/>
      <c r="M232" s="146"/>
      <c r="N232" s="146"/>
      <c r="O232" s="146"/>
      <c r="P232" s="146"/>
      <c r="Q232" s="146"/>
      <c r="R232" s="146"/>
    </row>
    <row r="233" spans="1:18" x14ac:dyDescent="0.25">
      <c r="A233" s="22"/>
      <c r="C233" s="74"/>
      <c r="D233" s="74"/>
      <c r="E233" s="74"/>
      <c r="F233" s="74"/>
      <c r="G233" s="74"/>
      <c r="H233" s="74"/>
      <c r="I233" s="74"/>
      <c r="J233" s="74"/>
      <c r="K233" s="74"/>
      <c r="L233" s="74"/>
      <c r="M233" s="146"/>
      <c r="N233" s="146"/>
      <c r="O233" s="146"/>
      <c r="P233" s="146"/>
      <c r="Q233" s="146"/>
      <c r="R233" s="146"/>
    </row>
    <row r="234" spans="1:18" x14ac:dyDescent="0.25">
      <c r="A234" s="22"/>
      <c r="B234" s="16" t="s">
        <v>99</v>
      </c>
      <c r="M234" s="146"/>
      <c r="N234" s="146"/>
      <c r="O234" s="146"/>
      <c r="P234" s="146"/>
      <c r="Q234" s="146"/>
      <c r="R234" s="146"/>
    </row>
    <row r="235" spans="1:18" x14ac:dyDescent="0.25">
      <c r="A235" s="22"/>
      <c r="B235" s="17" t="s">
        <v>100</v>
      </c>
      <c r="M235" s="146"/>
      <c r="N235" s="146"/>
      <c r="O235" s="146"/>
      <c r="P235" s="146"/>
      <c r="Q235" s="146"/>
      <c r="R235" s="146"/>
    </row>
    <row r="236" spans="1:18" x14ac:dyDescent="0.25">
      <c r="A236" s="22"/>
      <c r="B236" s="17" t="s">
        <v>21</v>
      </c>
      <c r="M236" s="146"/>
      <c r="N236" s="146"/>
      <c r="O236" s="146"/>
      <c r="P236" s="146"/>
      <c r="Q236" s="146"/>
      <c r="R236" s="146"/>
    </row>
    <row r="237" spans="1:18" x14ac:dyDescent="0.25">
      <c r="A237" s="22"/>
      <c r="B237" s="77"/>
      <c r="C237" s="74"/>
      <c r="D237" s="74"/>
      <c r="I237" s="89"/>
      <c r="J237" s="80"/>
      <c r="K237" s="80"/>
      <c r="L237" s="93"/>
    </row>
    <row r="238" spans="1:18" x14ac:dyDescent="0.25">
      <c r="A238" s="22"/>
      <c r="C238" s="74"/>
      <c r="D238" s="74"/>
    </row>
    <row r="239" spans="1:18" x14ac:dyDescent="0.25">
      <c r="A239" s="22"/>
      <c r="B239" s="37" t="s">
        <v>101</v>
      </c>
      <c r="C239" s="74"/>
      <c r="D239" s="74"/>
      <c r="I239" s="96"/>
      <c r="L239" s="93"/>
    </row>
    <row r="240" spans="1:18" x14ac:dyDescent="0.25">
      <c r="A240" s="22"/>
      <c r="B240" s="77"/>
      <c r="C240" s="74"/>
      <c r="D240" s="74"/>
      <c r="I240" s="89"/>
      <c r="J240" s="97"/>
      <c r="K240" s="97"/>
      <c r="L240" s="93"/>
    </row>
    <row r="241" spans="1:12" ht="15.6" x14ac:dyDescent="0.3">
      <c r="A241" s="22"/>
      <c r="B241" s="534" t="str">
        <f>$B$1</f>
        <v xml:space="preserve">Jersey Central Power &amp; Light </v>
      </c>
      <c r="C241" s="534"/>
      <c r="D241" s="534"/>
      <c r="E241" s="534"/>
      <c r="F241" s="534"/>
      <c r="G241" s="534"/>
      <c r="H241" s="534"/>
      <c r="I241" s="534"/>
      <c r="J241" s="534"/>
      <c r="K241" s="534"/>
      <c r="L241" s="534"/>
    </row>
    <row r="242" spans="1:12" ht="15.6" x14ac:dyDescent="0.3">
      <c r="A242" s="22"/>
      <c r="B242" s="534" t="str">
        <f>$B$2</f>
        <v>Attachment 2</v>
      </c>
      <c r="C242" s="534"/>
      <c r="D242" s="534"/>
      <c r="E242" s="534"/>
      <c r="F242" s="534"/>
      <c r="G242" s="534"/>
      <c r="H242" s="534"/>
      <c r="I242" s="534"/>
      <c r="J242" s="534"/>
      <c r="K242" s="534"/>
      <c r="L242" s="534"/>
    </row>
    <row r="243" spans="1:12" ht="15.6" x14ac:dyDescent="0.3">
      <c r="A243" s="22"/>
      <c r="B243" s="167"/>
      <c r="C243" s="167"/>
      <c r="D243" s="167"/>
      <c r="E243" s="167"/>
      <c r="F243" s="167"/>
      <c r="G243" s="167"/>
      <c r="H243" s="167"/>
      <c r="I243" s="167"/>
      <c r="J243" s="167"/>
      <c r="K243" s="167"/>
      <c r="L243" s="167"/>
    </row>
    <row r="244" spans="1:12" ht="15.6" x14ac:dyDescent="0.3">
      <c r="A244" s="18" t="s">
        <v>106</v>
      </c>
      <c r="B244" s="164" t="s">
        <v>241</v>
      </c>
      <c r="C244" s="20"/>
      <c r="E244" s="166"/>
      <c r="F244" s="38"/>
      <c r="L244" s="167"/>
    </row>
    <row r="245" spans="1:12" ht="15.6" x14ac:dyDescent="0.3">
      <c r="B245" s="13" t="s">
        <v>242</v>
      </c>
      <c r="L245" s="167"/>
    </row>
    <row r="246" spans="1:12" ht="15.6" x14ac:dyDescent="0.3">
      <c r="E246" s="26" t="s">
        <v>61</v>
      </c>
      <c r="F246" s="26" t="s">
        <v>62</v>
      </c>
      <c r="G246" s="26" t="s">
        <v>65</v>
      </c>
      <c r="H246" s="26" t="s">
        <v>203</v>
      </c>
      <c r="I246" s="26" t="s">
        <v>55</v>
      </c>
      <c r="L246" s="167"/>
    </row>
    <row r="247" spans="1:12" ht="15.6" x14ac:dyDescent="0.3">
      <c r="L247" s="167"/>
    </row>
    <row r="248" spans="1:12" ht="15.6" x14ac:dyDescent="0.3">
      <c r="B248" s="28" t="s">
        <v>17</v>
      </c>
      <c r="E248" s="55">
        <f>'Composite Cost Allocation'!E110</f>
        <v>2080422.4798940001</v>
      </c>
      <c r="G248" s="55">
        <f>'Composite Cost Allocation'!G110</f>
        <v>2187580000</v>
      </c>
      <c r="I248" s="55">
        <f>'Composite Cost Allocation'!I110</f>
        <v>38075000</v>
      </c>
      <c r="L248" s="167"/>
    </row>
    <row r="249" spans="1:12" ht="15.6" x14ac:dyDescent="0.3">
      <c r="B249" s="77" t="s">
        <v>72</v>
      </c>
      <c r="E249" s="55">
        <f>'Composite Cost Allocation'!E111</f>
        <v>30286611</v>
      </c>
      <c r="H249" s="55">
        <f>'Composite Cost Allocation'!H111</f>
        <v>15200926.100000001</v>
      </c>
      <c r="L249" s="167"/>
    </row>
    <row r="250" spans="1:12" ht="15.6" x14ac:dyDescent="0.3">
      <c r="B250" s="77" t="s">
        <v>73</v>
      </c>
      <c r="E250" s="55">
        <f>'Composite Cost Allocation'!E112</f>
        <v>43822966.520106003</v>
      </c>
      <c r="H250" s="55">
        <f>'Composite Cost Allocation'!H112</f>
        <v>17415073.899999999</v>
      </c>
      <c r="L250" s="167"/>
    </row>
    <row r="251" spans="1:12" ht="15.6" x14ac:dyDescent="0.3">
      <c r="B251" s="89" t="s">
        <v>142</v>
      </c>
      <c r="F251" s="55">
        <f>'Composite Cost Allocation'!F113</f>
        <v>1937650000</v>
      </c>
      <c r="L251" s="167"/>
    </row>
    <row r="252" spans="1:12" ht="15.6" x14ac:dyDescent="0.3">
      <c r="B252" s="89" t="s">
        <v>144</v>
      </c>
      <c r="F252" s="55">
        <f>'Composite Cost Allocation'!F114</f>
        <v>1725873000</v>
      </c>
      <c r="L252" s="167"/>
    </row>
    <row r="253" spans="1:12" ht="15.6" x14ac:dyDescent="0.3">
      <c r="L253" s="167"/>
    </row>
    <row r="254" spans="1:12" ht="15.6" x14ac:dyDescent="0.3">
      <c r="B254" s="28" t="s">
        <v>18</v>
      </c>
      <c r="E254" s="55">
        <f>'Composite Cost Allocation'!E116</f>
        <v>4242572.9285309995</v>
      </c>
      <c r="F254" s="55">
        <f>'Composite Cost Allocation'!F116</f>
        <v>5157543000</v>
      </c>
      <c r="G254" s="55">
        <f>'Composite Cost Allocation'!G116</f>
        <v>3796476000</v>
      </c>
      <c r="I254" s="55">
        <f>'Composite Cost Allocation'!I116</f>
        <v>76214000</v>
      </c>
      <c r="L254" s="167"/>
    </row>
    <row r="255" spans="1:12" ht="15.6" x14ac:dyDescent="0.3">
      <c r="B255" s="77" t="s">
        <v>72</v>
      </c>
      <c r="E255" s="55">
        <f>'Composite Cost Allocation'!E117</f>
        <v>55263715.358677089</v>
      </c>
      <c r="H255" s="55">
        <f>'Composite Cost Allocation'!H117</f>
        <v>37452340.899999999</v>
      </c>
      <c r="L255" s="167"/>
    </row>
    <row r="256" spans="1:12" ht="15.6" x14ac:dyDescent="0.3">
      <c r="B256" s="77" t="s">
        <v>73</v>
      </c>
      <c r="E256" s="55">
        <f>'Composite Cost Allocation'!E118</f>
        <v>100382711.71279192</v>
      </c>
      <c r="H256" s="55">
        <f>'Composite Cost Allocation'!H118</f>
        <v>47954659.100000001</v>
      </c>
      <c r="L256" s="167"/>
    </row>
    <row r="257" spans="1:15" ht="15.6" x14ac:dyDescent="0.3">
      <c r="J257" s="26" t="s">
        <v>13</v>
      </c>
      <c r="K257" s="26"/>
      <c r="M257" s="267" t="s">
        <v>290</v>
      </c>
      <c r="N257" s="267" t="s">
        <v>291</v>
      </c>
    </row>
    <row r="258" spans="1:15" x14ac:dyDescent="0.25">
      <c r="B258" s="89" t="s">
        <v>162</v>
      </c>
      <c r="E258" s="55">
        <f>SUM(E248:E252)</f>
        <v>76190000</v>
      </c>
      <c r="F258" s="55">
        <f>SUM(F248:F252)</f>
        <v>3663523000</v>
      </c>
      <c r="G258" s="55">
        <f>SUM(G248:G252)</f>
        <v>2187580000</v>
      </c>
      <c r="H258" s="55">
        <f>SUM(H248:H252)</f>
        <v>32616000</v>
      </c>
      <c r="I258" s="55">
        <f>SUM(I248:I252)</f>
        <v>38075000</v>
      </c>
      <c r="J258" s="55">
        <f>SUM(E258:I258)</f>
        <v>5997984000</v>
      </c>
      <c r="K258" s="55"/>
      <c r="M258" s="282">
        <f>ROUND(J258*$E$95/1000,0)</f>
        <v>6705741</v>
      </c>
      <c r="N258" s="282">
        <f>ROUND(J258*$E$98/1000,0)</f>
        <v>6659435</v>
      </c>
    </row>
    <row r="259" spans="1:15" x14ac:dyDescent="0.25">
      <c r="B259" s="89" t="s">
        <v>163</v>
      </c>
      <c r="E259" s="139">
        <f>SUM(E254:E256)</f>
        <v>159889000</v>
      </c>
      <c r="F259" s="139">
        <f>SUM(F254:F256)</f>
        <v>5157543000</v>
      </c>
      <c r="G259" s="134">
        <f>SUM(G254:G256)</f>
        <v>3796476000</v>
      </c>
      <c r="H259" s="134">
        <f>SUM(H254:H256)</f>
        <v>85407000</v>
      </c>
      <c r="I259" s="134">
        <f>SUM(I254:I256)</f>
        <v>76214000</v>
      </c>
      <c r="J259" s="139">
        <f>SUM(E259:I259)</f>
        <v>9275529000</v>
      </c>
      <c r="K259" s="139"/>
      <c r="M259" s="282">
        <f>ROUND(J259*$E$95/1000,0)</f>
        <v>10370034</v>
      </c>
      <c r="N259" s="282">
        <f>ROUND(J259*$E$98/1000,0)</f>
        <v>10298425</v>
      </c>
    </row>
    <row r="260" spans="1:15" x14ac:dyDescent="0.25">
      <c r="B260" s="89" t="s">
        <v>164</v>
      </c>
      <c r="E260" s="55">
        <f>SUM(E258:E259)</f>
        <v>236079000</v>
      </c>
      <c r="F260" s="55">
        <f>SUM(F258:F259)</f>
        <v>8821066000</v>
      </c>
      <c r="G260" s="55">
        <f>SUM(G258:G259)</f>
        <v>5984056000</v>
      </c>
      <c r="H260" s="55">
        <f>SUM(H258:H259)</f>
        <v>118023000</v>
      </c>
      <c r="I260" s="55">
        <f>SUM(I258:I259)</f>
        <v>114289000</v>
      </c>
      <c r="J260" s="55">
        <f>SUM(E260:I260)</f>
        <v>15273513000</v>
      </c>
      <c r="K260" s="55"/>
      <c r="M260" s="283">
        <f>SUM(M258:M259)</f>
        <v>17075775</v>
      </c>
      <c r="N260" s="283">
        <f>SUM(N258:N259)</f>
        <v>16957860</v>
      </c>
    </row>
    <row r="261" spans="1:15" ht="15.6" x14ac:dyDescent="0.3">
      <c r="A261" s="22"/>
      <c r="B261" s="167"/>
      <c r="C261" s="167"/>
      <c r="D261" s="167"/>
      <c r="E261" s="167"/>
      <c r="F261" s="167"/>
      <c r="G261" s="167"/>
      <c r="H261" s="167"/>
      <c r="I261" s="167"/>
      <c r="J261" s="281" t="s">
        <v>256</v>
      </c>
      <c r="K261" s="281"/>
      <c r="L261" s="167"/>
    </row>
    <row r="262" spans="1:15" ht="15.6" x14ac:dyDescent="0.3">
      <c r="A262" s="22"/>
      <c r="B262" s="167"/>
      <c r="C262" s="167"/>
      <c r="D262" s="167"/>
      <c r="E262" s="167"/>
      <c r="F262" s="167"/>
      <c r="G262" s="167"/>
      <c r="H262" s="167"/>
      <c r="I262" s="167"/>
      <c r="J262" s="167"/>
      <c r="K262" s="167"/>
      <c r="L262" s="167"/>
    </row>
    <row r="264" spans="1:15" x14ac:dyDescent="0.25">
      <c r="A264" s="6" t="s">
        <v>133</v>
      </c>
      <c r="B264" s="1" t="s">
        <v>168</v>
      </c>
      <c r="C264"/>
      <c r="D264"/>
      <c r="E264"/>
      <c r="F264"/>
      <c r="G264"/>
      <c r="H264"/>
      <c r="I264"/>
      <c r="J264"/>
      <c r="K264"/>
      <c r="L264"/>
    </row>
    <row r="265" spans="1:15" x14ac:dyDescent="0.25">
      <c r="A265" s="7"/>
      <c r="B265" s="1"/>
      <c r="C265"/>
      <c r="D265"/>
      <c r="E265"/>
      <c r="F265"/>
      <c r="G265"/>
      <c r="H265"/>
      <c r="I265"/>
      <c r="J265"/>
      <c r="K265"/>
      <c r="L265"/>
    </row>
    <row r="266" spans="1:15" x14ac:dyDescent="0.25">
      <c r="A266" s="7"/>
      <c r="B266"/>
      <c r="C266" s="2"/>
      <c r="D266" s="2"/>
      <c r="E266" s="26" t="str">
        <f>+E$13</f>
        <v>RT{1}</v>
      </c>
      <c r="F266" s="26" t="str">
        <f>+F$13</f>
        <v>RS{2}</v>
      </c>
      <c r="G266" s="26" t="str">
        <f>+G$13</f>
        <v>GS{3}</v>
      </c>
      <c r="H266" s="156" t="str">
        <f>+H$58</f>
        <v>GST {4}</v>
      </c>
      <c r="I266" s="26" t="str">
        <f>+I$13</f>
        <v>OL/SL</v>
      </c>
      <c r="J266" s="2" t="s">
        <v>13</v>
      </c>
      <c r="K266" s="2"/>
      <c r="L266" s="2"/>
    </row>
    <row r="267" spans="1:15" x14ac:dyDescent="0.25">
      <c r="A267" s="7"/>
      <c r="B267" t="s">
        <v>134</v>
      </c>
      <c r="C267"/>
      <c r="D267"/>
      <c r="E267"/>
      <c r="F267"/>
      <c r="G267"/>
      <c r="H267"/>
      <c r="I267"/>
      <c r="J267"/>
      <c r="K267"/>
      <c r="L267"/>
    </row>
    <row r="268" spans="1:15" x14ac:dyDescent="0.25">
      <c r="A268" s="7"/>
      <c r="B268" s="28" t="s">
        <v>17</v>
      </c>
      <c r="C268" s="150"/>
      <c r="D268" s="150"/>
      <c r="E268" s="150">
        <f>+E222*E248/1000000</f>
        <v>159.35318505431147</v>
      </c>
      <c r="F268" s="150"/>
      <c r="G268" s="150">
        <f>+G222*G248/1000000</f>
        <v>147411.3354251743</v>
      </c>
      <c r="H268" s="145"/>
      <c r="I268" s="150">
        <f>+I222*I248/1000000</f>
        <v>1569.3183499938048</v>
      </c>
      <c r="J268" s="150"/>
      <c r="K268" s="150"/>
      <c r="L268" s="150"/>
    </row>
    <row r="269" spans="1:15" x14ac:dyDescent="0.25">
      <c r="A269" s="7"/>
      <c r="B269" s="77" t="s">
        <v>72</v>
      </c>
      <c r="C269" s="150"/>
      <c r="D269" s="150"/>
      <c r="E269" s="150">
        <f>+E223*E249/1000000</f>
        <v>3956.8979680346069</v>
      </c>
      <c r="F269" s="150"/>
      <c r="G269" s="150"/>
      <c r="H269" s="150">
        <f>+H223*H249/1000000</f>
        <v>1899.3039565389165</v>
      </c>
      <c r="I269" s="150"/>
      <c r="J269" s="150"/>
      <c r="K269" s="150"/>
      <c r="L269" s="150"/>
    </row>
    <row r="270" spans="1:15" x14ac:dyDescent="0.25">
      <c r="A270" s="7"/>
      <c r="B270" s="77" t="s">
        <v>73</v>
      </c>
      <c r="C270" s="150"/>
      <c r="D270" s="150"/>
      <c r="E270" s="150">
        <f>+E224*E250/1000000</f>
        <v>1719.7908343109898</v>
      </c>
      <c r="F270" s="150"/>
      <c r="G270" s="150"/>
      <c r="H270" s="150">
        <f>+H224*H250/1000000</f>
        <v>689.71501833938805</v>
      </c>
      <c r="I270" s="150"/>
      <c r="J270" s="150"/>
      <c r="K270" s="150"/>
      <c r="L270" s="81"/>
      <c r="M270" s="81"/>
      <c r="N270" s="81"/>
      <c r="O270" s="81"/>
    </row>
    <row r="271" spans="1:15" x14ac:dyDescent="0.25">
      <c r="A271" s="7"/>
      <c r="B271" s="89" t="s">
        <v>142</v>
      </c>
      <c r="C271" s="150"/>
      <c r="D271" s="150"/>
      <c r="E271" s="150"/>
      <c r="F271" s="150">
        <f>+F225*F251/1000000</f>
        <v>123567.99407656619</v>
      </c>
      <c r="G271" s="150"/>
      <c r="H271" s="145"/>
      <c r="I271" s="150"/>
      <c r="J271" s="150"/>
      <c r="K271" s="150"/>
      <c r="L271" s="150"/>
    </row>
    <row r="272" spans="1:15" x14ac:dyDescent="0.25">
      <c r="A272" s="7"/>
      <c r="B272" s="89" t="s">
        <v>144</v>
      </c>
      <c r="C272" s="150"/>
      <c r="D272" s="150"/>
      <c r="E272" s="150"/>
      <c r="F272" s="150">
        <f>+F226*F252/1000000</f>
        <v>124994.7849436869</v>
      </c>
      <c r="G272" s="150"/>
      <c r="H272" s="145"/>
      <c r="I272" s="150"/>
      <c r="J272" s="150"/>
      <c r="K272" s="150"/>
      <c r="L272" s="150"/>
    </row>
    <row r="273" spans="1:12" x14ac:dyDescent="0.25">
      <c r="A273" s="7"/>
      <c r="C273" s="150"/>
      <c r="D273" s="150"/>
      <c r="E273" s="150"/>
      <c r="F273" s="150"/>
      <c r="G273" s="150"/>
      <c r="H273" s="145"/>
      <c r="I273" s="150"/>
      <c r="J273" s="150"/>
      <c r="K273" s="150"/>
      <c r="L273" s="150"/>
    </row>
    <row r="274" spans="1:12" x14ac:dyDescent="0.25">
      <c r="A274" s="7"/>
      <c r="B274" s="28" t="s">
        <v>18</v>
      </c>
      <c r="C274" s="150"/>
      <c r="D274" s="150"/>
      <c r="E274" s="150">
        <f>+E228*E254/1000000</f>
        <v>336.75471731638959</v>
      </c>
      <c r="F274" s="150">
        <f>+F228*F254/1000000</f>
        <v>415092.24913110794</v>
      </c>
      <c r="G274" s="150">
        <f>+G228*G254/1000000</f>
        <v>279247.80520882166</v>
      </c>
      <c r="I274" s="150">
        <f>+I228*I254/1000000</f>
        <v>3557.5560014631469</v>
      </c>
      <c r="J274" s="150"/>
      <c r="K274" s="150"/>
      <c r="L274" s="150"/>
    </row>
    <row r="275" spans="1:12" x14ac:dyDescent="0.25">
      <c r="A275" s="7"/>
      <c r="B275" s="77" t="s">
        <v>72</v>
      </c>
      <c r="C275" s="150"/>
      <c r="D275" s="150"/>
      <c r="E275" s="150">
        <f>+E229*E255/1000000</f>
        <v>7838.8709641654586</v>
      </c>
      <c r="F275" s="3"/>
      <c r="G275" s="3"/>
      <c r="H275" s="150">
        <f>+H229*H255/1000000</f>
        <v>4227.3984886298131</v>
      </c>
      <c r="I275" s="3"/>
      <c r="J275" s="150"/>
      <c r="K275" s="150"/>
      <c r="L275" s="150"/>
    </row>
    <row r="276" spans="1:12" x14ac:dyDescent="0.25">
      <c r="A276" s="7"/>
      <c r="B276" s="77" t="s">
        <v>73</v>
      </c>
      <c r="C276" s="3"/>
      <c r="D276" s="3"/>
      <c r="E276" s="150">
        <f>+E230*E256/1000000</f>
        <v>4515.2165975455646</v>
      </c>
      <c r="H276" s="150">
        <f>+H230*H256/1000000</f>
        <v>2189.0701989488898</v>
      </c>
      <c r="J276" s="150"/>
      <c r="K276" s="150"/>
      <c r="L276" s="150"/>
    </row>
    <row r="277" spans="1:12" x14ac:dyDescent="0.25">
      <c r="A277" s="7"/>
      <c r="B277" s="5"/>
      <c r="C277"/>
      <c r="D277"/>
      <c r="E277"/>
      <c r="F277"/>
      <c r="G277"/>
      <c r="H277"/>
      <c r="I277"/>
      <c r="J277"/>
      <c r="K277"/>
      <c r="L277"/>
    </row>
    <row r="278" spans="1:12" x14ac:dyDescent="0.25">
      <c r="A278" s="7"/>
      <c r="B278" t="s">
        <v>135</v>
      </c>
      <c r="C278"/>
      <c r="D278"/>
      <c r="E278"/>
      <c r="F278"/>
      <c r="G278"/>
      <c r="H278"/>
      <c r="I278"/>
      <c r="J278"/>
      <c r="K278"/>
      <c r="L278"/>
    </row>
    <row r="279" spans="1:12" x14ac:dyDescent="0.25">
      <c r="A279" s="7"/>
      <c r="B279" s="5" t="s">
        <v>25</v>
      </c>
      <c r="D279"/>
      <c r="E279" s="3">
        <f>SUM(E268:E272)</f>
        <v>5836.041987399909</v>
      </c>
      <c r="F279" s="3">
        <f>SUM(F268:F272)</f>
        <v>248562.7790202531</v>
      </c>
      <c r="G279" s="3">
        <f>SUM(G268:G272)</f>
        <v>147411.3354251743</v>
      </c>
      <c r="H279" s="3">
        <f>SUM(H268:H272)</f>
        <v>2589.0189748783046</v>
      </c>
      <c r="I279" s="3">
        <f>SUM(I268:I272)</f>
        <v>1569.3183499938048</v>
      </c>
      <c r="J279" s="152">
        <f>SUM(E279:I279)</f>
        <v>405968.49375769944</v>
      </c>
      <c r="K279" s="152"/>
      <c r="L279"/>
    </row>
    <row r="280" spans="1:12" x14ac:dyDescent="0.25">
      <c r="A280" s="7"/>
      <c r="B280" s="5" t="s">
        <v>26</v>
      </c>
      <c r="D280"/>
      <c r="E280" s="3">
        <f>SUM(E274:E276)</f>
        <v>12690.842279027413</v>
      </c>
      <c r="F280" s="3">
        <f>SUM(F274:F276)</f>
        <v>415092.24913110794</v>
      </c>
      <c r="G280" s="3">
        <f>SUM(G274:G276)</f>
        <v>279247.80520882166</v>
      </c>
      <c r="H280" s="3">
        <f>SUM(H274:H276)</f>
        <v>6416.4686875787029</v>
      </c>
      <c r="I280" s="3">
        <f>SUM(I274:I276)</f>
        <v>3557.5560014631469</v>
      </c>
      <c r="J280" s="152">
        <f>SUM(E280:I280)</f>
        <v>717004.92130799871</v>
      </c>
      <c r="K280" s="152"/>
      <c r="L280"/>
    </row>
    <row r="281" spans="1:12" x14ac:dyDescent="0.25">
      <c r="A281" s="7"/>
      <c r="B281" s="5" t="s">
        <v>13</v>
      </c>
      <c r="D281"/>
      <c r="E281" s="3">
        <f>SUM(E279:E280)</f>
        <v>18526.884266427322</v>
      </c>
      <c r="F281" s="3">
        <f>SUM(F279:F280)</f>
        <v>663655.02815136104</v>
      </c>
      <c r="G281" s="3">
        <f>SUM(G279:G280)</f>
        <v>426659.14063399599</v>
      </c>
      <c r="H281" s="3">
        <f>SUM(H279:H280)</f>
        <v>9005.4876624570079</v>
      </c>
      <c r="I281" s="3">
        <f>SUM(I279:I280)</f>
        <v>5126.8743514569514</v>
      </c>
      <c r="J281" s="3">
        <f>SUM(E281:I281)</f>
        <v>1122973.4150656983</v>
      </c>
      <c r="K281" s="3"/>
    </row>
    <row r="282" spans="1:12" x14ac:dyDescent="0.25">
      <c r="A282" s="7"/>
      <c r="B282"/>
      <c r="C282"/>
      <c r="D282"/>
      <c r="E282"/>
      <c r="F282"/>
      <c r="G282"/>
      <c r="H282"/>
      <c r="J282"/>
      <c r="K282"/>
    </row>
    <row r="283" spans="1:12" x14ac:dyDescent="0.25">
      <c r="A283" s="7"/>
      <c r="B283" t="s">
        <v>136</v>
      </c>
      <c r="C283"/>
      <c r="D283"/>
      <c r="E283"/>
      <c r="F283"/>
      <c r="G283"/>
      <c r="H283"/>
      <c r="J283"/>
      <c r="K283"/>
    </row>
    <row r="284" spans="1:12" x14ac:dyDescent="0.25">
      <c r="A284" s="7"/>
      <c r="B284" s="5" t="s">
        <v>25</v>
      </c>
      <c r="C284"/>
      <c r="D284"/>
      <c r="E284" s="151">
        <f t="shared" ref="E284:J284" si="21">+E279/E281</f>
        <v>0.31500396415685694</v>
      </c>
      <c r="F284" s="151">
        <f t="shared" si="21"/>
        <v>0.37453611963527972</v>
      </c>
      <c r="G284" s="151">
        <f t="shared" si="21"/>
        <v>0.34550141175020366</v>
      </c>
      <c r="H284" s="151">
        <f t="shared" si="21"/>
        <v>0.28749347863432984</v>
      </c>
      <c r="I284" s="151">
        <f t="shared" si="21"/>
        <v>0.30609651074203464</v>
      </c>
      <c r="J284" s="151">
        <f t="shared" si="21"/>
        <v>0.36151211445548664</v>
      </c>
      <c r="K284" s="151"/>
    </row>
    <row r="285" spans="1:12" x14ac:dyDescent="0.25">
      <c r="A285" s="7"/>
      <c r="B285" s="5" t="s">
        <v>26</v>
      </c>
      <c r="C285"/>
      <c r="D285"/>
      <c r="E285" s="151">
        <f t="shared" ref="E285:J285" si="22">+E280/E281</f>
        <v>0.68499603584314306</v>
      </c>
      <c r="F285" s="151">
        <f t="shared" si="22"/>
        <v>0.62546388036472023</v>
      </c>
      <c r="G285" s="151">
        <f t="shared" si="22"/>
        <v>0.65449858824979623</v>
      </c>
      <c r="H285" s="151">
        <f t="shared" si="22"/>
        <v>0.71250652136567016</v>
      </c>
      <c r="I285" s="151">
        <f t="shared" si="22"/>
        <v>0.69390348925796541</v>
      </c>
      <c r="J285" s="151">
        <f t="shared" si="22"/>
        <v>0.63848788554451319</v>
      </c>
      <c r="K285" s="151"/>
    </row>
    <row r="286" spans="1:12" x14ac:dyDescent="0.25">
      <c r="A286" s="7"/>
      <c r="B286" s="5"/>
      <c r="C286"/>
      <c r="D286"/>
      <c r="E286" s="151"/>
      <c r="F286" s="151"/>
      <c r="G286" s="151"/>
      <c r="H286" s="151"/>
      <c r="I286" s="151"/>
      <c r="J286" s="151"/>
      <c r="K286" s="151"/>
    </row>
    <row r="287" spans="1:12" ht="15.6" x14ac:dyDescent="0.3">
      <c r="A287" s="22"/>
      <c r="B287" s="534" t="str">
        <f>$B$1</f>
        <v xml:space="preserve">Jersey Central Power &amp; Light </v>
      </c>
      <c r="C287" s="534"/>
      <c r="D287" s="534"/>
      <c r="E287" s="534"/>
      <c r="F287" s="534"/>
      <c r="G287" s="534"/>
      <c r="H287" s="534"/>
      <c r="I287" s="534"/>
      <c r="J287" s="534"/>
      <c r="K287" s="534"/>
      <c r="L287" s="534"/>
    </row>
    <row r="288" spans="1:12" ht="15.6" x14ac:dyDescent="0.3">
      <c r="A288" s="22"/>
      <c r="B288" s="534" t="str">
        <f>$B$2</f>
        <v>Attachment 2</v>
      </c>
      <c r="C288" s="534"/>
      <c r="D288" s="534"/>
      <c r="E288" s="534"/>
      <c r="F288" s="534"/>
      <c r="G288" s="534"/>
      <c r="H288" s="534"/>
      <c r="I288" s="534"/>
      <c r="J288" s="534"/>
      <c r="K288" s="534"/>
      <c r="L288" s="534"/>
    </row>
    <row r="289" spans="1:21" x14ac:dyDescent="0.25">
      <c r="F289"/>
      <c r="G289"/>
      <c r="H289"/>
      <c r="J289"/>
      <c r="K289"/>
    </row>
    <row r="290" spans="1:21" x14ac:dyDescent="0.25">
      <c r="F290"/>
      <c r="G290"/>
      <c r="H290"/>
      <c r="J290"/>
      <c r="K290"/>
    </row>
    <row r="291" spans="1:21" x14ac:dyDescent="0.25">
      <c r="A291" s="6" t="s">
        <v>246</v>
      </c>
      <c r="C291" s="284" t="s">
        <v>468</v>
      </c>
      <c r="D291" s="240"/>
      <c r="E291" s="240"/>
      <c r="F291"/>
      <c r="G291"/>
      <c r="H291"/>
      <c r="J291"/>
      <c r="K291"/>
    </row>
    <row r="292" spans="1:21" x14ac:dyDescent="0.25">
      <c r="F292"/>
      <c r="G292"/>
      <c r="H292"/>
      <c r="J292"/>
      <c r="K292"/>
    </row>
    <row r="293" spans="1:21" x14ac:dyDescent="0.25">
      <c r="A293" s="13"/>
      <c r="J293"/>
      <c r="K293"/>
    </row>
    <row r="294" spans="1:21" x14ac:dyDescent="0.25">
      <c r="A294" s="13"/>
      <c r="J294"/>
      <c r="K294"/>
    </row>
    <row r="295" spans="1:21" x14ac:dyDescent="0.25">
      <c r="A295" s="6" t="s">
        <v>244</v>
      </c>
      <c r="B295" s="1" t="s">
        <v>247</v>
      </c>
      <c r="C295"/>
      <c r="D295"/>
      <c r="E295"/>
      <c r="G295" s="81"/>
      <c r="J295"/>
      <c r="K295"/>
    </row>
    <row r="296" spans="1:21" x14ac:dyDescent="0.25">
      <c r="A296" s="7"/>
      <c r="C296" s="74"/>
      <c r="D296" s="74"/>
      <c r="J296"/>
      <c r="K296"/>
    </row>
    <row r="297" spans="1:21" x14ac:dyDescent="0.25">
      <c r="A297" s="7"/>
      <c r="B297" s="16" t="s">
        <v>102</v>
      </c>
      <c r="C297" s="74"/>
      <c r="D297" s="74"/>
      <c r="J297"/>
      <c r="K297"/>
    </row>
    <row r="298" spans="1:21" x14ac:dyDescent="0.25">
      <c r="A298" s="7"/>
      <c r="B298" s="89" t="s">
        <v>103</v>
      </c>
      <c r="C298" s="145">
        <f>(+SUMPRODUCT(C232:I232,C72:I72))/1000</f>
        <v>1122973.6277381738</v>
      </c>
      <c r="J298"/>
      <c r="K298"/>
    </row>
    <row r="299" spans="1:21" x14ac:dyDescent="0.25">
      <c r="A299" s="7"/>
      <c r="C299" s="89" t="s">
        <v>104</v>
      </c>
      <c r="D299" s="308">
        <f>+C298/SUMPRODUCT(E72:I72,E95:I95)*1000</f>
        <v>65.764135349775032</v>
      </c>
      <c r="E299" s="13" t="s">
        <v>105</v>
      </c>
      <c r="J299"/>
      <c r="K299"/>
      <c r="M299" s="12"/>
      <c r="N299" s="532"/>
      <c r="O299" s="12"/>
      <c r="P299" s="12"/>
      <c r="Q299" s="12"/>
      <c r="R299" s="12"/>
    </row>
    <row r="300" spans="1:21" x14ac:dyDescent="0.25">
      <c r="A300" s="7"/>
      <c r="J300"/>
      <c r="K300"/>
    </row>
    <row r="301" spans="1:21" x14ac:dyDescent="0.25">
      <c r="A301" s="7"/>
      <c r="C301" s="89"/>
      <c r="D301" s="268"/>
      <c r="I301" s="13" t="s">
        <v>256</v>
      </c>
      <c r="J301"/>
      <c r="K301"/>
    </row>
    <row r="302" spans="1:21" x14ac:dyDescent="0.25">
      <c r="A302" s="6" t="s">
        <v>245</v>
      </c>
      <c r="B302" s="1" t="s">
        <v>220</v>
      </c>
      <c r="C302" s="89"/>
      <c r="D302" s="255"/>
      <c r="J302"/>
      <c r="K302"/>
    </row>
    <row r="303" spans="1:21" x14ac:dyDescent="0.25">
      <c r="A303" s="7"/>
      <c r="B303"/>
      <c r="C303"/>
      <c r="D303"/>
      <c r="E303"/>
      <c r="F303"/>
      <c r="G303"/>
      <c r="H303"/>
      <c r="J303"/>
      <c r="K303"/>
    </row>
    <row r="304" spans="1:21" x14ac:dyDescent="0.25">
      <c r="A304" s="7"/>
      <c r="B304" s="13" t="s">
        <v>288</v>
      </c>
      <c r="G304" s="253" t="s">
        <v>176</v>
      </c>
      <c r="H304" s="134"/>
      <c r="I304" s="134"/>
      <c r="J304" s="10"/>
      <c r="K304" s="10"/>
      <c r="R304" s="253"/>
      <c r="S304" s="134"/>
      <c r="T304" s="134"/>
      <c r="U304" s="134"/>
    </row>
    <row r="305" spans="1:20" x14ac:dyDescent="0.25">
      <c r="A305" s="7"/>
      <c r="B305" s="71" t="s">
        <v>25</v>
      </c>
      <c r="C305" s="309">
        <f>+J279/SUMPRODUCT(Q64:U64,E$95:I$95)*1000</f>
        <v>60.54043309952862</v>
      </c>
      <c r="D305" s="13" t="s">
        <v>137</v>
      </c>
      <c r="H305" s="26" t="s">
        <v>25</v>
      </c>
      <c r="I305" s="254">
        <f>ROUND(C305/$D$299,4)</f>
        <v>0.92059999999999997</v>
      </c>
      <c r="M305" s="71"/>
      <c r="N305" s="143"/>
      <c r="Q305" s="252"/>
      <c r="S305" s="26"/>
      <c r="T305" s="254"/>
    </row>
    <row r="306" spans="1:20" x14ac:dyDescent="0.25">
      <c r="A306" s="7"/>
      <c r="B306" s="71" t="s">
        <v>26</v>
      </c>
      <c r="C306" s="143">
        <f>+J280/SUMPRODUCT(Q60:U60,E$95:I$95)*1000</f>
        <v>69.142001161178641</v>
      </c>
      <c r="D306" s="13" t="s">
        <v>137</v>
      </c>
      <c r="H306" s="26" t="s">
        <v>26</v>
      </c>
      <c r="I306" s="254">
        <f>ROUND(C306/$D$299,4)</f>
        <v>1.0513999999999999</v>
      </c>
      <c r="M306" s="71"/>
      <c r="N306" s="143"/>
      <c r="Q306" s="252"/>
      <c r="S306" s="26"/>
      <c r="T306" s="254"/>
    </row>
    <row r="307" spans="1:20" x14ac:dyDescent="0.25">
      <c r="A307" s="7"/>
    </row>
    <row r="308" spans="1:20" x14ac:dyDescent="0.25">
      <c r="A308" s="7"/>
      <c r="G308" s="253" t="s">
        <v>424</v>
      </c>
    </row>
    <row r="309" spans="1:20" x14ac:dyDescent="0.25">
      <c r="A309" s="7"/>
      <c r="B309"/>
      <c r="C309"/>
      <c r="D309"/>
      <c r="E309" s="138"/>
      <c r="F309" s="4"/>
      <c r="G309"/>
      <c r="H309" s="26" t="s">
        <v>25</v>
      </c>
      <c r="I309" s="457">
        <f>IF(I306&gt;I305,1,I305)</f>
        <v>1</v>
      </c>
      <c r="J309"/>
      <c r="K309"/>
      <c r="L309"/>
    </row>
    <row r="310" spans="1:20" x14ac:dyDescent="0.25">
      <c r="A310" s="16" t="s">
        <v>108</v>
      </c>
      <c r="E310" s="98"/>
      <c r="F310" s="101"/>
      <c r="H310" s="26" t="s">
        <v>26</v>
      </c>
      <c r="I310" s="457">
        <f>IF(I306&gt;I305,1,I306)</f>
        <v>1</v>
      </c>
      <c r="J310"/>
      <c r="K310"/>
      <c r="L310"/>
    </row>
    <row r="311" spans="1:20" x14ac:dyDescent="0.25">
      <c r="A311" s="22"/>
      <c r="B311" s="89" t="s">
        <v>132</v>
      </c>
      <c r="C311" s="102">
        <f>D179</f>
        <v>216.11</v>
      </c>
      <c r="D311" s="93" t="s">
        <v>160</v>
      </c>
      <c r="E311" s="98"/>
      <c r="F311" s="101"/>
      <c r="I311"/>
      <c r="J311"/>
      <c r="K311"/>
      <c r="L311"/>
    </row>
    <row r="312" spans="1:20" x14ac:dyDescent="0.25">
      <c r="A312" s="22"/>
      <c r="B312" s="89"/>
      <c r="C312" s="102">
        <f>D180</f>
        <v>216.11</v>
      </c>
      <c r="D312" s="93" t="s">
        <v>161</v>
      </c>
      <c r="E312" s="98"/>
      <c r="F312" s="101"/>
      <c r="I312"/>
      <c r="J312"/>
      <c r="K312"/>
      <c r="L312"/>
    </row>
    <row r="313" spans="1:20" x14ac:dyDescent="0.25">
      <c r="A313" s="22"/>
      <c r="B313" s="89" t="s">
        <v>159</v>
      </c>
      <c r="C313" s="81" t="s">
        <v>158</v>
      </c>
      <c r="D313" s="93"/>
      <c r="E313" s="98"/>
      <c r="F313" s="101"/>
      <c r="I313"/>
      <c r="J313"/>
      <c r="K313"/>
      <c r="L313"/>
    </row>
    <row r="314" spans="1:20" x14ac:dyDescent="0.25">
      <c r="A314" s="22"/>
      <c r="B314" s="89" t="s">
        <v>109</v>
      </c>
      <c r="C314" s="149">
        <f>+H173</f>
        <v>4</v>
      </c>
      <c r="D314" s="13" t="s">
        <v>110</v>
      </c>
      <c r="E314" s="98"/>
      <c r="F314" s="101"/>
      <c r="I314"/>
      <c r="J314"/>
      <c r="K314"/>
      <c r="L314"/>
    </row>
    <row r="315" spans="1:20" x14ac:dyDescent="0.25">
      <c r="A315" s="22"/>
      <c r="B315" s="89"/>
      <c r="C315" s="149">
        <f>+H174</f>
        <v>8</v>
      </c>
      <c r="D315" s="13" t="s">
        <v>111</v>
      </c>
      <c r="E315" s="98"/>
      <c r="F315" s="101"/>
      <c r="I315"/>
      <c r="J315"/>
      <c r="K315"/>
      <c r="L315"/>
    </row>
    <row r="316" spans="1:20" x14ac:dyDescent="0.25">
      <c r="A316" s="22"/>
      <c r="B316" s="413" t="s">
        <v>453</v>
      </c>
      <c r="C316" s="102">
        <f>+F196</f>
        <v>10.4</v>
      </c>
      <c r="D316" s="13" t="s">
        <v>113</v>
      </c>
      <c r="E316" s="98"/>
      <c r="F316" s="101"/>
      <c r="I316"/>
      <c r="J316"/>
      <c r="K316"/>
      <c r="L316"/>
    </row>
    <row r="317" spans="1:20" x14ac:dyDescent="0.25">
      <c r="A317" s="22"/>
      <c r="B317" s="89" t="s">
        <v>114</v>
      </c>
      <c r="C317" s="406" t="s">
        <v>469</v>
      </c>
      <c r="E317" s="98"/>
      <c r="F317" s="101"/>
      <c r="I317"/>
      <c r="J317"/>
      <c r="K317"/>
      <c r="L317"/>
    </row>
    <row r="318" spans="1:20" x14ac:dyDescent="0.25">
      <c r="A318" s="22"/>
      <c r="B318" s="89" t="s">
        <v>115</v>
      </c>
      <c r="C318" s="412" t="s">
        <v>470</v>
      </c>
      <c r="E318" s="98"/>
      <c r="F318" s="101"/>
      <c r="I318"/>
      <c r="J318"/>
      <c r="K318"/>
      <c r="L318"/>
    </row>
    <row r="319" spans="1:20" x14ac:dyDescent="0.25">
      <c r="A319" s="22"/>
      <c r="B319" s="89"/>
      <c r="C319" s="412" t="s">
        <v>471</v>
      </c>
      <c r="E319" s="98"/>
      <c r="F319" s="101"/>
      <c r="I319"/>
      <c r="J319"/>
      <c r="K319"/>
      <c r="L319"/>
    </row>
    <row r="320" spans="1:20" x14ac:dyDescent="0.25">
      <c r="A320" s="22"/>
      <c r="B320" s="89" t="s">
        <v>116</v>
      </c>
      <c r="C320" s="406" t="s">
        <v>472</v>
      </c>
      <c r="E320" s="98"/>
      <c r="F320" s="101"/>
      <c r="I320"/>
      <c r="J320"/>
      <c r="K320"/>
      <c r="L320"/>
    </row>
    <row r="321" spans="1:12" x14ac:dyDescent="0.25">
      <c r="A321" s="22"/>
      <c r="B321" s="89" t="s">
        <v>285</v>
      </c>
      <c r="C321" s="13" t="s">
        <v>286</v>
      </c>
      <c r="E321" s="98"/>
      <c r="F321" s="101"/>
      <c r="I321"/>
      <c r="J321"/>
      <c r="K321"/>
      <c r="L321"/>
    </row>
    <row r="322" spans="1:12" x14ac:dyDescent="0.25">
      <c r="A322" s="22"/>
      <c r="B322" s="89" t="s">
        <v>282</v>
      </c>
      <c r="C322" s="13" t="s">
        <v>283</v>
      </c>
      <c r="E322" s="98"/>
      <c r="F322" s="101"/>
      <c r="I322"/>
      <c r="J322"/>
      <c r="K322"/>
      <c r="L322"/>
    </row>
    <row r="323" spans="1:12" x14ac:dyDescent="0.25">
      <c r="A323" s="22"/>
      <c r="B323" s="89" t="s">
        <v>118</v>
      </c>
      <c r="C323" s="13" t="s">
        <v>214</v>
      </c>
      <c r="E323" s="100"/>
      <c r="F323" s="101"/>
      <c r="I323"/>
      <c r="J323"/>
      <c r="K323"/>
      <c r="L323"/>
    </row>
    <row r="324" spans="1:12" x14ac:dyDescent="0.25">
      <c r="C324" s="13" t="s">
        <v>119</v>
      </c>
      <c r="E324" s="98"/>
      <c r="F324" s="101"/>
      <c r="I324"/>
      <c r="J324"/>
      <c r="K324"/>
      <c r="L324"/>
    </row>
    <row r="325" spans="1:12" x14ac:dyDescent="0.25">
      <c r="B325" s="89" t="s">
        <v>120</v>
      </c>
      <c r="C325" s="103" t="s">
        <v>189</v>
      </c>
      <c r="E325" s="98"/>
      <c r="F325" s="101"/>
      <c r="I325"/>
      <c r="J325"/>
      <c r="K325"/>
      <c r="L325"/>
    </row>
    <row r="326" spans="1:12" x14ac:dyDescent="0.25">
      <c r="A326" s="22"/>
      <c r="C326" s="103" t="s">
        <v>121</v>
      </c>
      <c r="E326" s="99"/>
      <c r="I326"/>
      <c r="J326"/>
      <c r="K326"/>
      <c r="L326"/>
    </row>
    <row r="327" spans="1:12" x14ac:dyDescent="0.25">
      <c r="C327" s="103" t="s">
        <v>188</v>
      </c>
      <c r="I327"/>
      <c r="J327"/>
      <c r="K327"/>
      <c r="L327"/>
    </row>
    <row r="328" spans="1:12" x14ac:dyDescent="0.25">
      <c r="A328" s="7"/>
      <c r="B328" s="495" t="s">
        <v>456</v>
      </c>
      <c r="C328" s="496" t="s">
        <v>457</v>
      </c>
      <c r="D328"/>
      <c r="E328" s="138"/>
      <c r="F328" s="4"/>
      <c r="G328"/>
      <c r="H328"/>
      <c r="I328"/>
      <c r="J328"/>
      <c r="K328"/>
      <c r="L328"/>
    </row>
    <row r="329" spans="1:12" x14ac:dyDescent="0.25">
      <c r="A329" s="7"/>
      <c r="B329" s="494" t="s">
        <v>256</v>
      </c>
      <c r="C329" s="9"/>
      <c r="D329"/>
      <c r="E329" s="138"/>
      <c r="F329" s="138"/>
      <c r="G329"/>
      <c r="H329"/>
      <c r="I329"/>
      <c r="J329"/>
      <c r="K329"/>
      <c r="L329"/>
    </row>
  </sheetData>
  <sheetProtection algorithmName="SHA-512" hashValue="JlD7j3ibNNOzx8MN3PJ5Pc0LKsd6U/RseOV5ME+NNCfTryEhGuUL6ucoVr/NTEcl6GcWftYuSE+w8jmGwfAEfA==" saltValue="tcmYVi9aH5Qn29ct0a+yiw==" spinCount="100000" sheet="1" objects="1" scenarios="1"/>
  <mergeCells count="17">
    <mergeCell ref="M30:N30"/>
    <mergeCell ref="B287:L287"/>
    <mergeCell ref="B288:L288"/>
    <mergeCell ref="B3:L3"/>
    <mergeCell ref="B241:L241"/>
    <mergeCell ref="B242:L242"/>
    <mergeCell ref="B103:L103"/>
    <mergeCell ref="B104:L104"/>
    <mergeCell ref="B143:L143"/>
    <mergeCell ref="B144:L144"/>
    <mergeCell ref="B211:L211"/>
    <mergeCell ref="B212:L212"/>
    <mergeCell ref="B1:L1"/>
    <mergeCell ref="B2:L2"/>
    <mergeCell ref="B52:L52"/>
    <mergeCell ref="B53:L53"/>
    <mergeCell ref="B5:L5"/>
  </mergeCells>
  <phoneticPr fontId="33" type="noConversion"/>
  <pageMargins left="0.97" right="0.79" top="0.69" bottom="0.69" header="0.33" footer="0.5"/>
  <pageSetup scale="60" orientation="landscape" r:id="rId1"/>
  <headerFooter alignWithMargins="0">
    <oddFooter>&amp;L&amp;F    &amp;A&amp;CPage &amp;P of &amp;N&amp;R&amp;D</oddFooter>
  </headerFooter>
  <rowBreaks count="6" manualBreakCount="6">
    <brk id="51" max="11" man="1"/>
    <brk id="102" max="11" man="1"/>
    <brk id="142" max="11" man="1"/>
    <brk id="209" max="11" man="1"/>
    <brk id="240" max="11" man="1"/>
    <brk id="286" max="11"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Y329"/>
  <sheetViews>
    <sheetView workbookViewId="0"/>
  </sheetViews>
  <sheetFormatPr defaultColWidth="9.109375" defaultRowHeight="13.2" x14ac:dyDescent="0.25"/>
  <cols>
    <col min="1" max="1" width="16.109375" style="12" customWidth="1"/>
    <col min="2" max="2" width="27.88671875" style="13" customWidth="1"/>
    <col min="3" max="3" width="14.5546875" style="13" customWidth="1"/>
    <col min="4" max="4" width="12.5546875" style="13" customWidth="1"/>
    <col min="5" max="5" width="14.44140625" style="13" customWidth="1"/>
    <col min="6" max="7" width="16.109375" style="13" customWidth="1"/>
    <col min="8" max="8" width="15.109375" style="13" customWidth="1"/>
    <col min="9" max="9" width="14.5546875" style="13" customWidth="1"/>
    <col min="10" max="10" width="15.44140625" style="13" customWidth="1"/>
    <col min="11" max="11" width="4.88671875" style="13" customWidth="1"/>
    <col min="12" max="12" width="6.5546875" style="13" customWidth="1"/>
    <col min="13" max="13" width="15.88671875" style="13" customWidth="1"/>
    <col min="14" max="14" width="18" style="13" customWidth="1"/>
    <col min="15" max="16" width="12.44140625" style="13" customWidth="1"/>
    <col min="17" max="17" width="15.5546875" style="13" customWidth="1"/>
    <col min="18" max="18" width="14.44140625" style="13" customWidth="1"/>
    <col min="19" max="19" width="14.88671875" style="13" customWidth="1"/>
    <col min="20" max="20" width="15.109375" style="13" customWidth="1"/>
    <col min="21" max="21" width="14.109375" style="13" customWidth="1"/>
    <col min="22" max="22" width="12.44140625" style="13" customWidth="1"/>
    <col min="23" max="23" width="13.44140625" style="13" customWidth="1"/>
    <col min="24" max="24" width="15.44140625" style="13" customWidth="1"/>
    <col min="25" max="25" width="12.88671875" style="13" customWidth="1"/>
    <col min="26" max="26" width="11.5546875" style="13" customWidth="1"/>
    <col min="27" max="27" width="12.5546875" style="13" customWidth="1"/>
    <col min="28" max="28" width="16.88671875" style="13" customWidth="1"/>
    <col min="29" max="29" width="15.6640625" style="13" customWidth="1"/>
    <col min="30" max="30" width="14.109375" style="13" customWidth="1"/>
    <col min="31" max="31" width="16.44140625" style="13" customWidth="1"/>
    <col min="32" max="32" width="9.109375" style="13" customWidth="1"/>
    <col min="33" max="33" width="12" style="13" customWidth="1"/>
    <col min="34" max="34" width="13.44140625" style="13" customWidth="1"/>
    <col min="35" max="35" width="9.109375" style="13" customWidth="1"/>
    <col min="36" max="36" width="11" style="13" customWidth="1"/>
    <col min="37" max="37" width="14.5546875" style="13" customWidth="1"/>
    <col min="38" max="38" width="12.44140625" style="13" customWidth="1"/>
    <col min="39" max="46" width="9.109375" style="13" customWidth="1"/>
    <col min="47" max="48" width="10.88671875" style="13" customWidth="1"/>
    <col min="49" max="49" width="12.44140625" style="13" customWidth="1"/>
    <col min="50" max="50" width="10.88671875" style="13" customWidth="1"/>
    <col min="51" max="51" width="11.44140625" style="13" customWidth="1"/>
    <col min="52" max="16384" width="9.109375" style="13"/>
  </cols>
  <sheetData>
    <row r="1" spans="1:26" ht="15.6" x14ac:dyDescent="0.3">
      <c r="B1" s="534" t="s">
        <v>69</v>
      </c>
      <c r="C1" s="534"/>
      <c r="D1" s="534"/>
      <c r="E1" s="534"/>
      <c r="F1" s="534"/>
      <c r="G1" s="534"/>
      <c r="H1" s="534"/>
      <c r="I1" s="534"/>
      <c r="J1" s="534"/>
      <c r="K1" s="534"/>
      <c r="L1" s="534"/>
    </row>
    <row r="2" spans="1:26" ht="15.6" x14ac:dyDescent="0.3">
      <c r="B2" s="534" t="s">
        <v>187</v>
      </c>
      <c r="C2" s="534"/>
      <c r="D2" s="534"/>
      <c r="E2" s="534"/>
      <c r="F2" s="534"/>
      <c r="G2" s="534"/>
      <c r="H2" s="534"/>
      <c r="I2" s="534"/>
      <c r="J2" s="534"/>
      <c r="K2" s="534"/>
      <c r="L2" s="534"/>
    </row>
    <row r="3" spans="1:26" ht="15.6" x14ac:dyDescent="0.3">
      <c r="B3" s="535" t="s">
        <v>437</v>
      </c>
      <c r="C3" s="535"/>
      <c r="D3" s="535"/>
      <c r="E3" s="535"/>
      <c r="F3" s="535"/>
      <c r="G3" s="535"/>
      <c r="H3" s="535"/>
      <c r="I3" s="535"/>
      <c r="J3" s="535"/>
      <c r="K3" s="535"/>
      <c r="L3" s="535"/>
    </row>
    <row r="4" spans="1:26" ht="15.6" x14ac:dyDescent="0.3">
      <c r="B4" s="459"/>
      <c r="C4" s="459"/>
      <c r="D4" s="459"/>
      <c r="E4" s="459"/>
      <c r="F4" s="459"/>
      <c r="G4" s="459"/>
      <c r="H4" s="459"/>
      <c r="I4" s="459"/>
      <c r="J4" s="459"/>
      <c r="K4" s="459"/>
      <c r="L4" s="459"/>
    </row>
    <row r="5" spans="1:26" ht="15.6" x14ac:dyDescent="0.3">
      <c r="B5" s="535" t="s">
        <v>426</v>
      </c>
      <c r="C5" s="535"/>
      <c r="D5" s="535"/>
      <c r="E5" s="535"/>
      <c r="F5" s="535"/>
      <c r="G5" s="535"/>
      <c r="H5" s="535"/>
      <c r="I5" s="535"/>
      <c r="J5" s="535"/>
      <c r="K5" s="535"/>
      <c r="L5" s="535"/>
    </row>
    <row r="8" spans="1:26" ht="15.6" x14ac:dyDescent="0.3">
      <c r="B8" s="14" t="s">
        <v>50</v>
      </c>
    </row>
    <row r="9" spans="1:26" x14ac:dyDescent="0.25">
      <c r="A9" s="15"/>
      <c r="B9" s="16" t="s">
        <v>45</v>
      </c>
    </row>
    <row r="10" spans="1:26" x14ac:dyDescent="0.25">
      <c r="E10" s="17" t="s">
        <v>436</v>
      </c>
      <c r="F10" s="90"/>
      <c r="G10" s="90"/>
      <c r="H10" s="90"/>
    </row>
    <row r="11" spans="1:26" x14ac:dyDescent="0.25">
      <c r="A11" s="18" t="s">
        <v>30</v>
      </c>
      <c r="B11" s="19" t="s">
        <v>47</v>
      </c>
      <c r="C11" s="20"/>
      <c r="E11" s="17" t="s">
        <v>27</v>
      </c>
      <c r="N11" s="19"/>
      <c r="P11" s="21"/>
      <c r="Q11" s="19" t="s">
        <v>212</v>
      </c>
      <c r="R11" s="21"/>
      <c r="S11" s="21"/>
      <c r="T11" s="21"/>
      <c r="U11" s="21"/>
      <c r="V11" s="21"/>
      <c r="W11" s="21"/>
      <c r="X11" s="21"/>
      <c r="Y11" s="21"/>
      <c r="Z11" s="21"/>
    </row>
    <row r="12" spans="1:26" ht="26.4" x14ac:dyDescent="0.25">
      <c r="A12" s="22"/>
      <c r="C12" s="23"/>
      <c r="D12" s="23"/>
      <c r="E12" s="23" t="s">
        <v>24</v>
      </c>
      <c r="F12" s="23" t="s">
        <v>24</v>
      </c>
      <c r="G12" s="23" t="s">
        <v>24</v>
      </c>
      <c r="H12" s="23" t="s">
        <v>24</v>
      </c>
      <c r="I12" s="23" t="s">
        <v>56</v>
      </c>
      <c r="L12" s="23"/>
      <c r="M12" s="23"/>
      <c r="N12" s="17"/>
      <c r="O12" s="23"/>
      <c r="P12" s="23"/>
      <c r="Q12" s="23" t="s">
        <v>24</v>
      </c>
      <c r="R12" s="23" t="s">
        <v>24</v>
      </c>
      <c r="S12" s="23" t="s">
        <v>24</v>
      </c>
      <c r="T12" s="23" t="s">
        <v>24</v>
      </c>
      <c r="U12" s="23" t="s">
        <v>56</v>
      </c>
      <c r="W12" s="23"/>
      <c r="X12" s="23"/>
      <c r="Y12" s="23"/>
      <c r="Z12" s="23"/>
    </row>
    <row r="13" spans="1:26" x14ac:dyDescent="0.25">
      <c r="A13" s="22"/>
      <c r="B13" s="24" t="s">
        <v>190</v>
      </c>
      <c r="C13" s="25"/>
      <c r="D13" s="25"/>
      <c r="E13" s="26" t="s">
        <v>61</v>
      </c>
      <c r="F13" s="26" t="s">
        <v>62</v>
      </c>
      <c r="G13" s="26" t="s">
        <v>65</v>
      </c>
      <c r="H13" s="26" t="s">
        <v>54</v>
      </c>
      <c r="I13" s="26" t="s">
        <v>55</v>
      </c>
      <c r="J13" s="25"/>
      <c r="K13" s="25"/>
      <c r="L13" s="25"/>
      <c r="M13" s="25"/>
      <c r="N13" s="27"/>
      <c r="O13" s="26"/>
      <c r="P13" s="26"/>
      <c r="Q13" s="26" t="str">
        <f>+E13</f>
        <v>RT{1}</v>
      </c>
      <c r="R13" s="26" t="str">
        <f>+F13</f>
        <v>RS{2}</v>
      </c>
      <c r="S13" s="26" t="str">
        <f>+G13</f>
        <v>GS{3}</v>
      </c>
      <c r="T13" s="26" t="str">
        <f>+H13</f>
        <v>GST</v>
      </c>
      <c r="U13" s="26" t="str">
        <f>+I13</f>
        <v>OL/SL</v>
      </c>
      <c r="V13" s="26"/>
      <c r="W13" s="26"/>
      <c r="X13" s="26"/>
      <c r="Y13" s="26"/>
      <c r="Z13" s="26"/>
    </row>
    <row r="14" spans="1:26" x14ac:dyDescent="0.25">
      <c r="A14" s="22"/>
      <c r="O14" s="21"/>
      <c r="P14" s="21"/>
      <c r="Q14" s="21"/>
      <c r="R14" s="21"/>
      <c r="S14" s="21"/>
      <c r="T14" s="21"/>
      <c r="U14" s="21"/>
      <c r="V14" s="21"/>
      <c r="W14" s="21"/>
      <c r="X14" s="21"/>
      <c r="Y14" s="21"/>
      <c r="Z14" s="21"/>
    </row>
    <row r="15" spans="1:26" x14ac:dyDescent="0.25">
      <c r="A15" s="22"/>
      <c r="B15" s="28" t="s">
        <v>1</v>
      </c>
      <c r="C15" s="29"/>
      <c r="D15" s="29"/>
      <c r="E15" s="399">
        <v>0.49080000000000001</v>
      </c>
      <c r="F15" s="399">
        <v>0.51570000000000005</v>
      </c>
      <c r="G15" s="399">
        <v>0.57820000000000005</v>
      </c>
      <c r="H15" s="399">
        <v>0.55479999999999996</v>
      </c>
      <c r="I15" s="399">
        <v>0.34320000000000001</v>
      </c>
      <c r="J15" s="29"/>
      <c r="K15" s="29"/>
      <c r="L15" s="30"/>
      <c r="M15" s="30"/>
      <c r="N15" s="31"/>
      <c r="O15" s="32"/>
      <c r="P15" s="32"/>
      <c r="Q15" s="32">
        <f t="shared" ref="Q15:U26" si="0">1-E15</f>
        <v>0.50919999999999999</v>
      </c>
      <c r="R15" s="32">
        <f t="shared" si="0"/>
        <v>0.48429999999999995</v>
      </c>
      <c r="S15" s="32">
        <f t="shared" si="0"/>
        <v>0.42179999999999995</v>
      </c>
      <c r="T15" s="32">
        <f t="shared" si="0"/>
        <v>0.44520000000000004</v>
      </c>
      <c r="U15" s="32">
        <f t="shared" si="0"/>
        <v>0.65680000000000005</v>
      </c>
      <c r="V15" s="32"/>
      <c r="W15" s="32"/>
      <c r="X15" s="32"/>
      <c r="Y15" s="32"/>
      <c r="Z15" s="32"/>
    </row>
    <row r="16" spans="1:26" x14ac:dyDescent="0.25">
      <c r="A16" s="22"/>
      <c r="B16" s="28" t="s">
        <v>2</v>
      </c>
      <c r="C16" s="29"/>
      <c r="D16" s="29"/>
      <c r="E16" s="399">
        <v>0.4819</v>
      </c>
      <c r="F16" s="399">
        <v>0.51149999999999995</v>
      </c>
      <c r="G16" s="399">
        <v>0.57440000000000002</v>
      </c>
      <c r="H16" s="399">
        <v>0.55359999999999998</v>
      </c>
      <c r="I16" s="399">
        <v>0.31630000000000003</v>
      </c>
      <c r="J16" s="29"/>
      <c r="K16" s="29"/>
      <c r="L16" s="30"/>
      <c r="M16" s="30"/>
      <c r="N16" s="31"/>
      <c r="O16" s="32"/>
      <c r="P16" s="32"/>
      <c r="Q16" s="32">
        <f t="shared" si="0"/>
        <v>0.5181</v>
      </c>
      <c r="R16" s="32">
        <f t="shared" si="0"/>
        <v>0.48850000000000005</v>
      </c>
      <c r="S16" s="32">
        <f t="shared" si="0"/>
        <v>0.42559999999999998</v>
      </c>
      <c r="T16" s="32">
        <f t="shared" si="0"/>
        <v>0.44640000000000002</v>
      </c>
      <c r="U16" s="32">
        <f t="shared" si="0"/>
        <v>0.68369999999999997</v>
      </c>
      <c r="V16" s="32"/>
      <c r="W16" s="32"/>
      <c r="X16" s="32"/>
      <c r="Y16" s="32"/>
      <c r="Z16" s="32"/>
    </row>
    <row r="17" spans="1:26" x14ac:dyDescent="0.25">
      <c r="A17" s="22"/>
      <c r="B17" s="28" t="s">
        <v>3</v>
      </c>
      <c r="C17" s="29"/>
      <c r="D17" s="29"/>
      <c r="E17" s="399">
        <v>0.47589999999999999</v>
      </c>
      <c r="F17" s="399">
        <v>0.49380000000000002</v>
      </c>
      <c r="G17" s="399">
        <v>0.57830000000000004</v>
      </c>
      <c r="H17" s="399">
        <v>0.54449999999999998</v>
      </c>
      <c r="I17" s="399">
        <v>0.2712</v>
      </c>
      <c r="J17" s="29"/>
      <c r="K17" s="29"/>
      <c r="L17" s="30"/>
      <c r="M17" s="30"/>
      <c r="N17" s="31"/>
      <c r="O17" s="32"/>
      <c r="P17" s="32"/>
      <c r="Q17" s="32">
        <f t="shared" si="0"/>
        <v>0.52410000000000001</v>
      </c>
      <c r="R17" s="32">
        <f t="shared" si="0"/>
        <v>0.50619999999999998</v>
      </c>
      <c r="S17" s="32">
        <f t="shared" si="0"/>
        <v>0.42169999999999996</v>
      </c>
      <c r="T17" s="32">
        <f t="shared" si="0"/>
        <v>0.45550000000000002</v>
      </c>
      <c r="U17" s="32">
        <f t="shared" si="0"/>
        <v>0.7288</v>
      </c>
      <c r="V17" s="32"/>
      <c r="W17" s="32"/>
      <c r="X17" s="32"/>
      <c r="Y17" s="32"/>
      <c r="Z17" s="32"/>
    </row>
    <row r="18" spans="1:26" x14ac:dyDescent="0.25">
      <c r="A18" s="22"/>
      <c r="B18" s="28" t="s">
        <v>4</v>
      </c>
      <c r="C18" s="29"/>
      <c r="D18" s="29"/>
      <c r="E18" s="399">
        <v>0.50480000000000003</v>
      </c>
      <c r="F18" s="399">
        <v>0.52080000000000004</v>
      </c>
      <c r="G18" s="399">
        <v>0.61429999999999996</v>
      </c>
      <c r="H18" s="399">
        <v>0.59</v>
      </c>
      <c r="I18" s="399">
        <v>0.26250000000000001</v>
      </c>
      <c r="J18" s="29"/>
      <c r="K18" s="29"/>
      <c r="L18" s="30"/>
      <c r="M18" s="30"/>
      <c r="N18" s="31"/>
      <c r="O18" s="32"/>
      <c r="P18" s="32"/>
      <c r="Q18" s="32">
        <f t="shared" si="0"/>
        <v>0.49519999999999997</v>
      </c>
      <c r="R18" s="32">
        <f t="shared" si="0"/>
        <v>0.47919999999999996</v>
      </c>
      <c r="S18" s="32">
        <f t="shared" si="0"/>
        <v>0.38570000000000004</v>
      </c>
      <c r="T18" s="32">
        <f t="shared" si="0"/>
        <v>0.41000000000000003</v>
      </c>
      <c r="U18" s="32">
        <f t="shared" si="0"/>
        <v>0.73750000000000004</v>
      </c>
      <c r="V18" s="32"/>
      <c r="W18" s="32"/>
      <c r="X18" s="32"/>
      <c r="Y18" s="32"/>
      <c r="Z18" s="32"/>
    </row>
    <row r="19" spans="1:26" x14ac:dyDescent="0.25">
      <c r="A19" s="22"/>
      <c r="B19" s="28" t="s">
        <v>5</v>
      </c>
      <c r="C19" s="29"/>
      <c r="D19" s="29"/>
      <c r="E19" s="399">
        <v>0.48139999999999999</v>
      </c>
      <c r="F19" s="399">
        <v>0.49299999999999999</v>
      </c>
      <c r="G19" s="399">
        <v>0.59119999999999995</v>
      </c>
      <c r="H19" s="399">
        <v>0.57809999999999995</v>
      </c>
      <c r="I19" s="399">
        <v>0.24210000000000001</v>
      </c>
      <c r="J19" s="29"/>
      <c r="K19" s="29"/>
      <c r="L19" s="30"/>
      <c r="M19" s="30"/>
      <c r="N19" s="31"/>
      <c r="O19" s="32"/>
      <c r="P19" s="32"/>
      <c r="Q19" s="32">
        <f t="shared" si="0"/>
        <v>0.51859999999999995</v>
      </c>
      <c r="R19" s="32">
        <f t="shared" si="0"/>
        <v>0.50700000000000001</v>
      </c>
      <c r="S19" s="32">
        <f t="shared" si="0"/>
        <v>0.40880000000000005</v>
      </c>
      <c r="T19" s="32">
        <f t="shared" si="0"/>
        <v>0.42190000000000005</v>
      </c>
      <c r="U19" s="32">
        <f t="shared" si="0"/>
        <v>0.75790000000000002</v>
      </c>
      <c r="V19" s="32"/>
      <c r="W19" s="32"/>
      <c r="X19" s="32"/>
      <c r="Y19" s="32"/>
      <c r="Z19" s="32"/>
    </row>
    <row r="20" spans="1:26" x14ac:dyDescent="0.25">
      <c r="A20" s="22"/>
      <c r="B20" s="187" t="s">
        <v>6</v>
      </c>
      <c r="C20" s="211"/>
      <c r="D20" s="211"/>
      <c r="E20" s="400">
        <v>0.51149999999999995</v>
      </c>
      <c r="F20" s="400">
        <v>0.51590000000000003</v>
      </c>
      <c r="G20" s="400">
        <v>0.58189999999999997</v>
      </c>
      <c r="H20" s="400">
        <v>0.58020000000000005</v>
      </c>
      <c r="I20" s="401">
        <v>0.22559999999999999</v>
      </c>
      <c r="J20" s="29"/>
      <c r="K20" s="29"/>
      <c r="L20" s="30"/>
      <c r="M20" s="30"/>
      <c r="N20" s="31"/>
      <c r="O20" s="32"/>
      <c r="P20" s="32"/>
      <c r="Q20" s="32">
        <f t="shared" si="0"/>
        <v>0.48850000000000005</v>
      </c>
      <c r="R20" s="32">
        <f t="shared" si="0"/>
        <v>0.48409999999999997</v>
      </c>
      <c r="S20" s="32">
        <f t="shared" si="0"/>
        <v>0.41810000000000003</v>
      </c>
      <c r="T20" s="32">
        <f t="shared" si="0"/>
        <v>0.41979999999999995</v>
      </c>
      <c r="U20" s="32">
        <f t="shared" si="0"/>
        <v>0.77439999999999998</v>
      </c>
      <c r="V20" s="32"/>
      <c r="W20" s="32"/>
      <c r="X20" s="32"/>
      <c r="Y20" s="32"/>
      <c r="Z20" s="32"/>
    </row>
    <row r="21" spans="1:26" x14ac:dyDescent="0.25">
      <c r="A21" s="22"/>
      <c r="B21" s="191" t="s">
        <v>7</v>
      </c>
      <c r="C21" s="181"/>
      <c r="D21" s="181"/>
      <c r="E21" s="402">
        <v>0.53710000000000002</v>
      </c>
      <c r="F21" s="402">
        <v>0.53549999999999998</v>
      </c>
      <c r="G21" s="402">
        <v>0.60360000000000003</v>
      </c>
      <c r="H21" s="402">
        <v>0.59740000000000004</v>
      </c>
      <c r="I21" s="403">
        <v>0.24129999999999999</v>
      </c>
      <c r="J21" s="29"/>
      <c r="K21" s="29"/>
      <c r="L21" s="30"/>
      <c r="M21" s="30"/>
      <c r="N21" s="31"/>
      <c r="O21" s="32"/>
      <c r="P21" s="32"/>
      <c r="Q21" s="32">
        <f t="shared" si="0"/>
        <v>0.46289999999999998</v>
      </c>
      <c r="R21" s="32">
        <f t="shared" si="0"/>
        <v>0.46450000000000002</v>
      </c>
      <c r="S21" s="32">
        <f t="shared" si="0"/>
        <v>0.39639999999999997</v>
      </c>
      <c r="T21" s="32">
        <f t="shared" si="0"/>
        <v>0.40259999999999996</v>
      </c>
      <c r="U21" s="32">
        <f t="shared" si="0"/>
        <v>0.75870000000000004</v>
      </c>
      <c r="V21" s="32"/>
      <c r="W21" s="32"/>
      <c r="X21" s="32"/>
      <c r="Y21" s="32"/>
      <c r="Z21" s="32"/>
    </row>
    <row r="22" spans="1:26" x14ac:dyDescent="0.25">
      <c r="A22" s="22"/>
      <c r="B22" s="191" t="s">
        <v>8</v>
      </c>
      <c r="C22" s="181"/>
      <c r="D22" s="181"/>
      <c r="E22" s="402">
        <v>0.50949999999999995</v>
      </c>
      <c r="F22" s="402">
        <v>0.51019999999999999</v>
      </c>
      <c r="G22" s="402">
        <v>0.57569999999999999</v>
      </c>
      <c r="H22" s="402">
        <v>0.5716</v>
      </c>
      <c r="I22" s="403">
        <v>0.2346</v>
      </c>
      <c r="J22" s="29"/>
      <c r="K22" s="29"/>
      <c r="L22" s="30"/>
      <c r="M22" s="30"/>
      <c r="N22" s="31"/>
      <c r="O22" s="32"/>
      <c r="P22" s="32"/>
      <c r="Q22" s="32">
        <f t="shared" si="0"/>
        <v>0.49050000000000005</v>
      </c>
      <c r="R22" s="32">
        <f t="shared" si="0"/>
        <v>0.48980000000000001</v>
      </c>
      <c r="S22" s="32">
        <f t="shared" si="0"/>
        <v>0.42430000000000001</v>
      </c>
      <c r="T22" s="32">
        <f t="shared" si="0"/>
        <v>0.4284</v>
      </c>
      <c r="U22" s="32">
        <f t="shared" si="0"/>
        <v>0.76539999999999997</v>
      </c>
      <c r="V22" s="32"/>
      <c r="W22" s="32"/>
      <c r="X22" s="32"/>
      <c r="Y22" s="32"/>
      <c r="Z22" s="32"/>
    </row>
    <row r="23" spans="1:26" x14ac:dyDescent="0.25">
      <c r="A23" s="22"/>
      <c r="B23" s="194" t="s">
        <v>9</v>
      </c>
      <c r="C23" s="212"/>
      <c r="D23" s="212"/>
      <c r="E23" s="404">
        <v>0.49469999999999997</v>
      </c>
      <c r="F23" s="404">
        <v>0.50290000000000001</v>
      </c>
      <c r="G23" s="404">
        <v>0.59550000000000003</v>
      </c>
      <c r="H23" s="404">
        <v>0.58499999999999996</v>
      </c>
      <c r="I23" s="405">
        <v>0.26889999999999997</v>
      </c>
      <c r="J23" s="29"/>
      <c r="K23" s="29"/>
      <c r="L23" s="30"/>
      <c r="M23" s="30"/>
      <c r="N23" s="31"/>
      <c r="O23" s="32"/>
      <c r="P23" s="32"/>
      <c r="Q23" s="32">
        <f t="shared" si="0"/>
        <v>0.50530000000000008</v>
      </c>
      <c r="R23" s="32">
        <f t="shared" si="0"/>
        <v>0.49709999999999999</v>
      </c>
      <c r="S23" s="32">
        <f t="shared" si="0"/>
        <v>0.40449999999999997</v>
      </c>
      <c r="T23" s="32">
        <f t="shared" si="0"/>
        <v>0.41500000000000004</v>
      </c>
      <c r="U23" s="32">
        <f t="shared" si="0"/>
        <v>0.73110000000000008</v>
      </c>
      <c r="V23" s="32"/>
      <c r="W23" s="32"/>
      <c r="X23" s="32"/>
      <c r="Y23" s="32"/>
      <c r="Z23" s="32"/>
    </row>
    <row r="24" spans="1:26" x14ac:dyDescent="0.25">
      <c r="A24" s="22"/>
      <c r="B24" s="28" t="s">
        <v>10</v>
      </c>
      <c r="C24" s="29"/>
      <c r="D24" s="29"/>
      <c r="E24" s="399">
        <v>0.49619999999999997</v>
      </c>
      <c r="F24" s="399">
        <v>0.5171</v>
      </c>
      <c r="G24" s="399">
        <v>0.60709999999999997</v>
      </c>
      <c r="H24" s="399">
        <v>0.59560000000000002</v>
      </c>
      <c r="I24" s="399">
        <v>0.30030000000000001</v>
      </c>
      <c r="J24" s="29"/>
      <c r="K24" s="29"/>
      <c r="L24" s="30"/>
      <c r="M24" s="30"/>
      <c r="N24" s="31"/>
      <c r="O24" s="32"/>
      <c r="P24" s="32"/>
      <c r="Q24" s="32">
        <f t="shared" si="0"/>
        <v>0.50380000000000003</v>
      </c>
      <c r="R24" s="32">
        <f t="shared" si="0"/>
        <v>0.4829</v>
      </c>
      <c r="S24" s="32">
        <f t="shared" si="0"/>
        <v>0.39290000000000003</v>
      </c>
      <c r="T24" s="32">
        <f t="shared" si="0"/>
        <v>0.40439999999999998</v>
      </c>
      <c r="U24" s="32">
        <f t="shared" si="0"/>
        <v>0.69969999999999999</v>
      </c>
      <c r="V24" s="32"/>
      <c r="W24" s="32"/>
      <c r="X24" s="32"/>
      <c r="Y24" s="32"/>
      <c r="Z24" s="32"/>
    </row>
    <row r="25" spans="1:26" x14ac:dyDescent="0.25">
      <c r="A25" s="22"/>
      <c r="B25" s="28" t="s">
        <v>11</v>
      </c>
      <c r="C25" s="29"/>
      <c r="D25" s="29"/>
      <c r="E25" s="399">
        <v>0.45129999999999998</v>
      </c>
      <c r="F25" s="399">
        <v>0.47939999999999999</v>
      </c>
      <c r="G25" s="399">
        <v>0.56240000000000001</v>
      </c>
      <c r="H25" s="399">
        <v>0.5393</v>
      </c>
      <c r="I25" s="399">
        <v>0.32100000000000001</v>
      </c>
      <c r="J25" s="29"/>
      <c r="K25" s="29"/>
      <c r="L25" s="30"/>
      <c r="M25" s="30"/>
      <c r="N25" s="31"/>
      <c r="O25" s="32"/>
      <c r="P25" s="32"/>
      <c r="Q25" s="32">
        <f t="shared" si="0"/>
        <v>0.54869999999999997</v>
      </c>
      <c r="R25" s="32">
        <f t="shared" si="0"/>
        <v>0.52059999999999995</v>
      </c>
      <c r="S25" s="32">
        <f t="shared" si="0"/>
        <v>0.43759999999999999</v>
      </c>
      <c r="T25" s="32">
        <f t="shared" si="0"/>
        <v>0.4607</v>
      </c>
      <c r="U25" s="32">
        <f t="shared" si="0"/>
        <v>0.67900000000000005</v>
      </c>
      <c r="V25" s="32"/>
      <c r="W25" s="32"/>
      <c r="X25" s="32"/>
      <c r="Y25" s="32"/>
      <c r="Z25" s="32"/>
    </row>
    <row r="26" spans="1:26" x14ac:dyDescent="0.25">
      <c r="A26" s="22"/>
      <c r="B26" s="28" t="s">
        <v>12</v>
      </c>
      <c r="C26" s="29"/>
      <c r="D26" s="29"/>
      <c r="E26" s="399">
        <v>0.48820000000000002</v>
      </c>
      <c r="F26" s="399">
        <v>0.5101</v>
      </c>
      <c r="G26" s="399">
        <v>0.58230000000000004</v>
      </c>
      <c r="H26" s="399">
        <v>0.55659999999999998</v>
      </c>
      <c r="I26" s="399">
        <v>0.34710000000000002</v>
      </c>
      <c r="J26" s="29"/>
      <c r="K26" s="29"/>
      <c r="L26" s="30"/>
      <c r="M26" s="30"/>
      <c r="N26" s="31"/>
      <c r="O26" s="32"/>
      <c r="P26" s="32"/>
      <c r="Q26" s="32">
        <f t="shared" si="0"/>
        <v>0.51180000000000003</v>
      </c>
      <c r="R26" s="32">
        <f t="shared" si="0"/>
        <v>0.4899</v>
      </c>
      <c r="S26" s="32">
        <f t="shared" si="0"/>
        <v>0.41769999999999996</v>
      </c>
      <c r="T26" s="32">
        <f t="shared" si="0"/>
        <v>0.44340000000000002</v>
      </c>
      <c r="U26" s="32">
        <f t="shared" si="0"/>
        <v>0.65290000000000004</v>
      </c>
      <c r="V26" s="32"/>
      <c r="W26" s="32"/>
      <c r="X26" s="32"/>
      <c r="Y26" s="32"/>
      <c r="Z26" s="32"/>
    </row>
    <row r="27" spans="1:26" x14ac:dyDescent="0.25">
      <c r="A27" s="22"/>
      <c r="B27" s="28"/>
      <c r="C27" s="31"/>
      <c r="D27" s="31"/>
      <c r="E27" s="31"/>
      <c r="F27" s="31"/>
      <c r="G27" s="31"/>
      <c r="H27" s="31"/>
      <c r="I27" s="33"/>
      <c r="J27" s="33"/>
      <c r="K27" s="33"/>
      <c r="L27" s="31"/>
      <c r="M27" s="31"/>
      <c r="N27" s="31"/>
      <c r="O27" s="32"/>
      <c r="P27" s="32"/>
      <c r="Q27" s="32"/>
      <c r="R27" s="32"/>
      <c r="S27" s="32"/>
      <c r="T27" s="32"/>
      <c r="U27" s="32"/>
      <c r="V27" s="32"/>
      <c r="W27" s="32"/>
      <c r="X27" s="32"/>
      <c r="Y27" s="32"/>
      <c r="Z27" s="32"/>
    </row>
    <row r="28" spans="1:26" x14ac:dyDescent="0.25">
      <c r="A28" s="22"/>
      <c r="B28" s="28"/>
      <c r="C28" s="31"/>
      <c r="D28" s="31"/>
      <c r="E28" s="31"/>
      <c r="F28" s="31"/>
      <c r="G28" s="31"/>
      <c r="H28" s="31"/>
      <c r="I28" s="33"/>
      <c r="J28" s="33"/>
      <c r="K28" s="33"/>
      <c r="L28" s="31"/>
      <c r="M28" s="31"/>
      <c r="N28" s="31"/>
      <c r="O28" s="32"/>
      <c r="P28" s="32"/>
      <c r="Q28" s="32"/>
      <c r="R28" s="32"/>
      <c r="S28" s="32"/>
      <c r="T28" s="32"/>
      <c r="U28" s="32"/>
      <c r="V28" s="32"/>
      <c r="W28" s="32"/>
      <c r="X28" s="32"/>
      <c r="Y28" s="32"/>
      <c r="Z28" s="32"/>
    </row>
    <row r="29" spans="1:26" x14ac:dyDescent="0.25">
      <c r="A29" s="18" t="s">
        <v>31</v>
      </c>
      <c r="B29" s="19" t="s">
        <v>57</v>
      </c>
      <c r="C29" s="31"/>
      <c r="D29" s="31"/>
      <c r="E29" s="31"/>
      <c r="F29" s="34" t="s">
        <v>46</v>
      </c>
      <c r="G29" s="31"/>
      <c r="H29" s="31"/>
      <c r="I29" s="33"/>
      <c r="J29" s="33"/>
      <c r="K29" s="33"/>
      <c r="L29" s="31"/>
      <c r="M29" s="31"/>
      <c r="N29" s="31"/>
      <c r="O29" s="32"/>
      <c r="P29" s="32"/>
      <c r="Q29" s="32"/>
      <c r="R29" s="32"/>
      <c r="S29" s="32"/>
      <c r="T29" s="32"/>
      <c r="U29" s="32"/>
      <c r="V29" s="32"/>
      <c r="W29" s="32"/>
      <c r="X29" s="32"/>
      <c r="Y29" s="32"/>
      <c r="Z29" s="32"/>
    </row>
    <row r="30" spans="1:26" ht="53.25" customHeight="1" x14ac:dyDescent="0.25">
      <c r="A30" s="22"/>
      <c r="C30" s="23"/>
      <c r="D30" s="23"/>
      <c r="E30" s="182" t="s">
        <v>435</v>
      </c>
      <c r="F30" s="23" t="s">
        <v>39</v>
      </c>
      <c r="G30" s="23" t="s">
        <v>39</v>
      </c>
      <c r="H30" s="182" t="s">
        <v>435</v>
      </c>
      <c r="I30" s="23" t="s">
        <v>39</v>
      </c>
      <c r="J30" s="23"/>
      <c r="K30" s="23"/>
      <c r="L30" s="23"/>
      <c r="M30" s="23"/>
      <c r="N30" s="17"/>
      <c r="O30" s="23"/>
      <c r="P30" s="23"/>
      <c r="Q30" s="182" t="str">
        <f>E30</f>
        <v>2016 Forecasted Calendar Month Sales</v>
      </c>
      <c r="R30" s="23" t="s">
        <v>39</v>
      </c>
      <c r="S30" s="23" t="s">
        <v>39</v>
      </c>
      <c r="T30" s="182" t="str">
        <f>H30</f>
        <v>2016 Forecasted Calendar Month Sales</v>
      </c>
      <c r="U30" s="23" t="s">
        <v>39</v>
      </c>
      <c r="V30" s="23"/>
      <c r="W30" s="23"/>
      <c r="X30" s="23"/>
      <c r="Y30" s="23"/>
      <c r="Z30" s="23"/>
    </row>
    <row r="31" spans="1:26" x14ac:dyDescent="0.25">
      <c r="A31" s="22"/>
      <c r="B31" s="24" t="s">
        <v>190</v>
      </c>
      <c r="C31" s="26"/>
      <c r="D31" s="26"/>
      <c r="E31" s="26" t="str">
        <f>+E$13</f>
        <v>RT{1}</v>
      </c>
      <c r="F31" s="26" t="str">
        <f>+F$13</f>
        <v>RS{2}</v>
      </c>
      <c r="G31" s="26" t="str">
        <f>+G$13</f>
        <v>GS{3}</v>
      </c>
      <c r="H31" s="26" t="str">
        <f>+H$13</f>
        <v>GST</v>
      </c>
      <c r="I31" s="26" t="str">
        <f>+I$13</f>
        <v>OL/SL</v>
      </c>
      <c r="J31" s="26"/>
      <c r="K31" s="26"/>
      <c r="L31" s="26"/>
      <c r="M31" s="26"/>
      <c r="N31" s="27"/>
      <c r="O31" s="26"/>
      <c r="P31" s="26"/>
      <c r="Q31" s="26" t="str">
        <f>+Q$13</f>
        <v>RT{1}</v>
      </c>
      <c r="R31" s="26" t="str">
        <f>+R$13</f>
        <v>RS{2}</v>
      </c>
      <c r="S31" s="26" t="str">
        <f>+S$13</f>
        <v>GS{3}</v>
      </c>
      <c r="T31" s="26" t="str">
        <f>+T$13</f>
        <v>GST</v>
      </c>
      <c r="U31" s="26" t="str">
        <f>+U$13</f>
        <v>OL/SL</v>
      </c>
      <c r="V31" s="26"/>
      <c r="W31" s="26"/>
      <c r="X31" s="26"/>
      <c r="Y31" s="26"/>
      <c r="Z31" s="26"/>
    </row>
    <row r="32" spans="1:26" x14ac:dyDescent="0.25">
      <c r="A32" s="22"/>
      <c r="O32" s="21"/>
      <c r="P32" s="21"/>
      <c r="Q32" s="21"/>
      <c r="R32" s="21"/>
      <c r="S32" s="21"/>
      <c r="T32" s="21"/>
      <c r="U32" s="21"/>
      <c r="V32" s="21"/>
      <c r="W32" s="21"/>
      <c r="X32" s="21"/>
      <c r="Y32" s="21"/>
      <c r="Z32" s="21"/>
    </row>
    <row r="33" spans="1:26" x14ac:dyDescent="0.25">
      <c r="A33" s="22"/>
      <c r="B33" s="28" t="s">
        <v>1</v>
      </c>
      <c r="C33" s="35"/>
      <c r="D33" s="136"/>
      <c r="E33" s="205" t="e">
        <f>#REF!</f>
        <v>#REF!</v>
      </c>
      <c r="F33" s="157" t="s">
        <v>40</v>
      </c>
      <c r="G33" s="157" t="s">
        <v>40</v>
      </c>
      <c r="H33" s="154" t="e">
        <f>#REF!</f>
        <v>#REF!</v>
      </c>
      <c r="I33" s="157" t="s">
        <v>40</v>
      </c>
      <c r="J33" s="35"/>
      <c r="K33" s="35"/>
      <c r="L33" s="35"/>
      <c r="M33" s="30"/>
      <c r="N33" s="31"/>
      <c r="O33" s="32"/>
      <c r="P33" s="32"/>
      <c r="Q33" s="32" t="e">
        <f t="shared" ref="Q33:Q44" si="1">1-E33</f>
        <v>#REF!</v>
      </c>
      <c r="R33" s="32"/>
      <c r="S33" s="32"/>
      <c r="T33" s="32" t="e">
        <f t="shared" ref="T33:T44" si="2">1-H33</f>
        <v>#REF!</v>
      </c>
      <c r="U33" s="32"/>
      <c r="V33" s="32"/>
      <c r="W33" s="32"/>
      <c r="X33" s="32"/>
      <c r="Y33" s="32"/>
      <c r="Z33" s="32"/>
    </row>
    <row r="34" spans="1:26" x14ac:dyDescent="0.25">
      <c r="A34" s="22"/>
      <c r="B34" s="28" t="s">
        <v>2</v>
      </c>
      <c r="C34" s="35"/>
      <c r="D34" s="136"/>
      <c r="E34" s="205" t="e">
        <f>#REF!</f>
        <v>#REF!</v>
      </c>
      <c r="F34" s="157" t="s">
        <v>40</v>
      </c>
      <c r="G34" s="157" t="s">
        <v>40</v>
      </c>
      <c r="H34" s="154" t="e">
        <f>#REF!</f>
        <v>#REF!</v>
      </c>
      <c r="I34" s="157" t="s">
        <v>40</v>
      </c>
      <c r="J34" s="35"/>
      <c r="K34" s="35"/>
      <c r="L34" s="35"/>
      <c r="M34" s="30"/>
      <c r="N34" s="31"/>
      <c r="O34" s="32"/>
      <c r="P34" s="32"/>
      <c r="Q34" s="32" t="e">
        <f t="shared" si="1"/>
        <v>#REF!</v>
      </c>
      <c r="R34" s="32"/>
      <c r="S34" s="32"/>
      <c r="T34" s="32" t="e">
        <f t="shared" si="2"/>
        <v>#REF!</v>
      </c>
      <c r="U34" s="32"/>
      <c r="V34" s="32"/>
      <c r="W34" s="32"/>
      <c r="X34" s="32"/>
      <c r="Y34" s="32"/>
      <c r="Z34" s="32"/>
    </row>
    <row r="35" spans="1:26" x14ac:dyDescent="0.25">
      <c r="A35" s="22"/>
      <c r="B35" s="28" t="s">
        <v>3</v>
      </c>
      <c r="C35" s="35"/>
      <c r="D35" s="136"/>
      <c r="E35" s="205" t="e">
        <f>#REF!</f>
        <v>#REF!</v>
      </c>
      <c r="F35" s="157" t="s">
        <v>40</v>
      </c>
      <c r="G35" s="157" t="s">
        <v>40</v>
      </c>
      <c r="H35" s="154" t="e">
        <f>#REF!</f>
        <v>#REF!</v>
      </c>
      <c r="I35" s="157" t="s">
        <v>40</v>
      </c>
      <c r="J35" s="35"/>
      <c r="K35" s="35"/>
      <c r="L35" s="35"/>
      <c r="M35" s="30"/>
      <c r="N35" s="31"/>
      <c r="O35" s="32"/>
      <c r="P35" s="32"/>
      <c r="Q35" s="32" t="e">
        <f t="shared" si="1"/>
        <v>#REF!</v>
      </c>
      <c r="R35" s="32"/>
      <c r="S35" s="32"/>
      <c r="T35" s="32" t="e">
        <f t="shared" si="2"/>
        <v>#REF!</v>
      </c>
      <c r="U35" s="32"/>
      <c r="V35" s="32"/>
      <c r="W35" s="32"/>
      <c r="X35" s="32"/>
      <c r="Y35" s="32"/>
      <c r="Z35" s="32"/>
    </row>
    <row r="36" spans="1:26" x14ac:dyDescent="0.25">
      <c r="A36" s="22"/>
      <c r="B36" s="28" t="s">
        <v>4</v>
      </c>
      <c r="C36" s="35"/>
      <c r="D36" s="136"/>
      <c r="E36" s="205" t="e">
        <f>#REF!</f>
        <v>#REF!</v>
      </c>
      <c r="F36" s="157" t="s">
        <v>40</v>
      </c>
      <c r="G36" s="157" t="s">
        <v>40</v>
      </c>
      <c r="H36" s="154" t="e">
        <f>#REF!</f>
        <v>#REF!</v>
      </c>
      <c r="I36" s="157" t="s">
        <v>40</v>
      </c>
      <c r="J36" s="35"/>
      <c r="K36" s="35"/>
      <c r="L36" s="35"/>
      <c r="M36" s="30"/>
      <c r="N36" s="31"/>
      <c r="O36" s="32"/>
      <c r="P36" s="32"/>
      <c r="Q36" s="32" t="e">
        <f t="shared" si="1"/>
        <v>#REF!</v>
      </c>
      <c r="R36" s="32"/>
      <c r="S36" s="32"/>
      <c r="T36" s="32" t="e">
        <f t="shared" si="2"/>
        <v>#REF!</v>
      </c>
      <c r="U36" s="32"/>
      <c r="V36" s="32"/>
      <c r="W36" s="32"/>
      <c r="X36" s="32"/>
      <c r="Y36" s="32"/>
      <c r="Z36" s="32"/>
    </row>
    <row r="37" spans="1:26" x14ac:dyDescent="0.25">
      <c r="A37" s="22"/>
      <c r="B37" s="28" t="s">
        <v>5</v>
      </c>
      <c r="C37" s="35"/>
      <c r="D37" s="136"/>
      <c r="E37" s="205" t="e">
        <f>#REF!</f>
        <v>#REF!</v>
      </c>
      <c r="F37" s="157" t="s">
        <v>40</v>
      </c>
      <c r="G37" s="157" t="s">
        <v>40</v>
      </c>
      <c r="H37" s="154" t="e">
        <f>#REF!</f>
        <v>#REF!</v>
      </c>
      <c r="I37" s="157" t="s">
        <v>40</v>
      </c>
      <c r="J37" s="35"/>
      <c r="K37" s="35"/>
      <c r="L37" s="35"/>
      <c r="M37" s="30"/>
      <c r="N37" s="31"/>
      <c r="O37" s="32"/>
      <c r="P37" s="32"/>
      <c r="Q37" s="32" t="e">
        <f t="shared" si="1"/>
        <v>#REF!</v>
      </c>
      <c r="R37" s="32"/>
      <c r="S37" s="32"/>
      <c r="T37" s="32" t="e">
        <f t="shared" si="2"/>
        <v>#REF!</v>
      </c>
      <c r="U37" s="32"/>
      <c r="V37" s="32"/>
      <c r="W37" s="32"/>
      <c r="X37" s="32"/>
      <c r="Y37" s="32"/>
      <c r="Z37" s="32"/>
    </row>
    <row r="38" spans="1:26" x14ac:dyDescent="0.25">
      <c r="A38" s="22"/>
      <c r="B38" s="187" t="s">
        <v>6</v>
      </c>
      <c r="C38" s="213"/>
      <c r="D38" s="214"/>
      <c r="E38" s="215" t="e">
        <f>#REF!</f>
        <v>#REF!</v>
      </c>
      <c r="F38" s="216" t="s">
        <v>40</v>
      </c>
      <c r="G38" s="216" t="s">
        <v>40</v>
      </c>
      <c r="H38" s="217" t="e">
        <f>#REF!</f>
        <v>#REF!</v>
      </c>
      <c r="I38" s="218" t="s">
        <v>40</v>
      </c>
      <c r="J38" s="35"/>
      <c r="K38" s="35"/>
      <c r="L38" s="35"/>
      <c r="M38" s="30"/>
      <c r="N38" s="31"/>
      <c r="O38" s="32"/>
      <c r="P38" s="32"/>
      <c r="Q38" s="32" t="e">
        <f t="shared" si="1"/>
        <v>#REF!</v>
      </c>
      <c r="R38" s="32"/>
      <c r="S38" s="32"/>
      <c r="T38" s="32" t="e">
        <f t="shared" si="2"/>
        <v>#REF!</v>
      </c>
      <c r="U38" s="32"/>
      <c r="V38" s="32"/>
      <c r="W38" s="32"/>
      <c r="X38" s="32"/>
      <c r="Y38" s="32"/>
      <c r="Z38" s="32"/>
    </row>
    <row r="39" spans="1:26" x14ac:dyDescent="0.25">
      <c r="A39" s="22"/>
      <c r="B39" s="191" t="s">
        <v>7</v>
      </c>
      <c r="C39" s="206"/>
      <c r="D39" s="207"/>
      <c r="E39" s="208" t="e">
        <f>#REF!</f>
        <v>#REF!</v>
      </c>
      <c r="F39" s="209" t="s">
        <v>40</v>
      </c>
      <c r="G39" s="209" t="s">
        <v>40</v>
      </c>
      <c r="H39" s="210" t="e">
        <f>#REF!</f>
        <v>#REF!</v>
      </c>
      <c r="I39" s="219" t="s">
        <v>40</v>
      </c>
      <c r="J39" s="35"/>
      <c r="K39" s="35"/>
      <c r="L39" s="35"/>
      <c r="M39" s="30"/>
      <c r="N39" s="31"/>
      <c r="O39" s="32"/>
      <c r="P39" s="32"/>
      <c r="Q39" s="32" t="e">
        <f t="shared" si="1"/>
        <v>#REF!</v>
      </c>
      <c r="R39" s="32"/>
      <c r="S39" s="32"/>
      <c r="T39" s="32" t="e">
        <f t="shared" si="2"/>
        <v>#REF!</v>
      </c>
      <c r="U39" s="32"/>
      <c r="V39" s="32"/>
      <c r="W39" s="32"/>
      <c r="X39" s="32"/>
      <c r="Y39" s="32"/>
      <c r="Z39" s="32"/>
    </row>
    <row r="40" spans="1:26" x14ac:dyDescent="0.25">
      <c r="A40" s="22"/>
      <c r="B40" s="191" t="s">
        <v>8</v>
      </c>
      <c r="C40" s="206"/>
      <c r="D40" s="207"/>
      <c r="E40" s="208" t="e">
        <f>#REF!</f>
        <v>#REF!</v>
      </c>
      <c r="F40" s="209" t="s">
        <v>40</v>
      </c>
      <c r="G40" s="209" t="s">
        <v>40</v>
      </c>
      <c r="H40" s="210" t="e">
        <f>#REF!</f>
        <v>#REF!</v>
      </c>
      <c r="I40" s="219" t="s">
        <v>40</v>
      </c>
      <c r="J40" s="35"/>
      <c r="K40" s="35"/>
      <c r="L40" s="35"/>
      <c r="M40" s="30"/>
      <c r="N40" s="31"/>
      <c r="O40" s="32"/>
      <c r="P40" s="32"/>
      <c r="Q40" s="32" t="e">
        <f t="shared" si="1"/>
        <v>#REF!</v>
      </c>
      <c r="R40" s="32"/>
      <c r="S40" s="32"/>
      <c r="T40" s="32" t="e">
        <f t="shared" si="2"/>
        <v>#REF!</v>
      </c>
      <c r="U40" s="32"/>
      <c r="V40" s="32"/>
      <c r="W40" s="32"/>
      <c r="X40" s="32"/>
      <c r="Y40" s="32"/>
      <c r="Z40" s="32"/>
    </row>
    <row r="41" spans="1:26" x14ac:dyDescent="0.25">
      <c r="A41" s="22"/>
      <c r="B41" s="194" t="s">
        <v>9</v>
      </c>
      <c r="C41" s="220"/>
      <c r="D41" s="221"/>
      <c r="E41" s="222" t="e">
        <f>#REF!</f>
        <v>#REF!</v>
      </c>
      <c r="F41" s="223" t="s">
        <v>40</v>
      </c>
      <c r="G41" s="223" t="s">
        <v>40</v>
      </c>
      <c r="H41" s="224" t="e">
        <f>#REF!</f>
        <v>#REF!</v>
      </c>
      <c r="I41" s="225" t="s">
        <v>40</v>
      </c>
      <c r="J41" s="35"/>
      <c r="K41" s="35"/>
      <c r="L41" s="35"/>
      <c r="M41" s="30"/>
      <c r="N41" s="31"/>
      <c r="O41" s="32"/>
      <c r="P41" s="32"/>
      <c r="Q41" s="32" t="e">
        <f t="shared" si="1"/>
        <v>#REF!</v>
      </c>
      <c r="R41" s="32"/>
      <c r="S41" s="32"/>
      <c r="T41" s="32" t="e">
        <f t="shared" si="2"/>
        <v>#REF!</v>
      </c>
      <c r="U41" s="32"/>
      <c r="V41" s="32"/>
      <c r="W41" s="32"/>
      <c r="X41" s="32"/>
      <c r="Y41" s="32"/>
      <c r="Z41" s="32"/>
    </row>
    <row r="42" spans="1:26" x14ac:dyDescent="0.25">
      <c r="A42" s="22"/>
      <c r="B42" s="28" t="s">
        <v>10</v>
      </c>
      <c r="C42" s="35"/>
      <c r="D42" s="136"/>
      <c r="E42" s="205" t="e">
        <f>#REF!</f>
        <v>#REF!</v>
      </c>
      <c r="F42" s="157" t="s">
        <v>40</v>
      </c>
      <c r="G42" s="157" t="s">
        <v>40</v>
      </c>
      <c r="H42" s="154" t="e">
        <f>#REF!</f>
        <v>#REF!</v>
      </c>
      <c r="I42" s="157" t="s">
        <v>40</v>
      </c>
      <c r="J42" s="35"/>
      <c r="K42" s="35"/>
      <c r="L42" s="35"/>
      <c r="M42" s="30"/>
      <c r="N42" s="31"/>
      <c r="O42" s="32"/>
      <c r="P42" s="32"/>
      <c r="Q42" s="32" t="e">
        <f t="shared" si="1"/>
        <v>#REF!</v>
      </c>
      <c r="R42" s="32"/>
      <c r="S42" s="32"/>
      <c r="T42" s="32" t="e">
        <f t="shared" si="2"/>
        <v>#REF!</v>
      </c>
      <c r="U42" s="32"/>
      <c r="V42" s="32"/>
      <c r="W42" s="32"/>
      <c r="X42" s="32"/>
      <c r="Y42" s="32"/>
      <c r="Z42" s="32"/>
    </row>
    <row r="43" spans="1:26" x14ac:dyDescent="0.25">
      <c r="A43" s="22"/>
      <c r="B43" s="28" t="s">
        <v>11</v>
      </c>
      <c r="C43" s="35"/>
      <c r="D43" s="136"/>
      <c r="E43" s="205" t="e">
        <f>#REF!</f>
        <v>#REF!</v>
      </c>
      <c r="F43" s="157" t="s">
        <v>40</v>
      </c>
      <c r="G43" s="157" t="s">
        <v>40</v>
      </c>
      <c r="H43" s="154" t="e">
        <f>#REF!</f>
        <v>#REF!</v>
      </c>
      <c r="I43" s="157" t="s">
        <v>40</v>
      </c>
      <c r="J43" s="35"/>
      <c r="K43" s="35"/>
      <c r="L43" s="35"/>
      <c r="M43" s="30"/>
      <c r="N43" s="31"/>
      <c r="O43" s="32"/>
      <c r="P43" s="32"/>
      <c r="Q43" s="32" t="e">
        <f t="shared" si="1"/>
        <v>#REF!</v>
      </c>
      <c r="R43" s="32"/>
      <c r="S43" s="32"/>
      <c r="T43" s="32" t="e">
        <f t="shared" si="2"/>
        <v>#REF!</v>
      </c>
      <c r="U43" s="32"/>
      <c r="V43" s="32"/>
      <c r="W43" s="32"/>
      <c r="X43" s="32"/>
      <c r="Y43" s="32"/>
      <c r="Z43" s="32"/>
    </row>
    <row r="44" spans="1:26" x14ac:dyDescent="0.25">
      <c r="A44" s="22"/>
      <c r="B44" s="28" t="s">
        <v>12</v>
      </c>
      <c r="C44" s="35"/>
      <c r="D44" s="136"/>
      <c r="E44" s="205" t="e">
        <f>#REF!</f>
        <v>#REF!</v>
      </c>
      <c r="F44" s="157" t="s">
        <v>40</v>
      </c>
      <c r="G44" s="157" t="s">
        <v>40</v>
      </c>
      <c r="H44" s="154" t="e">
        <f>#REF!</f>
        <v>#REF!</v>
      </c>
      <c r="I44" s="157" t="s">
        <v>40</v>
      </c>
      <c r="J44" s="35"/>
      <c r="K44" s="35"/>
      <c r="L44" s="35"/>
      <c r="M44" s="30"/>
      <c r="N44" s="31"/>
      <c r="O44" s="32"/>
      <c r="P44" s="32"/>
      <c r="Q44" s="32" t="e">
        <f t="shared" si="1"/>
        <v>#REF!</v>
      </c>
      <c r="R44" s="32"/>
      <c r="S44" s="32"/>
      <c r="T44" s="32" t="e">
        <f t="shared" si="2"/>
        <v>#REF!</v>
      </c>
      <c r="U44" s="32"/>
      <c r="V44" s="32"/>
      <c r="W44" s="32"/>
      <c r="X44" s="32"/>
      <c r="Y44" s="32"/>
      <c r="Z44" s="32"/>
    </row>
    <row r="45" spans="1:26" x14ac:dyDescent="0.25">
      <c r="A45" s="22"/>
      <c r="B45" s="28"/>
      <c r="C45" s="35"/>
      <c r="D45" s="35"/>
      <c r="E45" s="35"/>
      <c r="F45" s="35"/>
      <c r="G45" s="35"/>
      <c r="H45" s="35"/>
      <c r="I45" s="35"/>
      <c r="J45" s="35"/>
      <c r="K45" s="35"/>
      <c r="L45" s="35"/>
      <c r="M45" s="30"/>
      <c r="N45" s="31"/>
      <c r="O45" s="32"/>
      <c r="P45" s="32"/>
      <c r="Q45" s="32"/>
      <c r="R45" s="32"/>
      <c r="S45" s="32"/>
      <c r="T45" s="32"/>
      <c r="U45" s="32"/>
      <c r="V45" s="32"/>
      <c r="W45" s="32"/>
      <c r="X45" s="32"/>
      <c r="Y45" s="32"/>
      <c r="Z45" s="32"/>
    </row>
    <row r="46" spans="1:26" x14ac:dyDescent="0.25">
      <c r="A46" s="22"/>
      <c r="B46" s="36" t="s">
        <v>202</v>
      </c>
      <c r="C46" s="35"/>
      <c r="D46" s="35"/>
      <c r="E46" s="35"/>
      <c r="F46" s="35"/>
      <c r="G46" s="35"/>
      <c r="H46" s="35"/>
      <c r="I46" s="35"/>
      <c r="J46" s="35"/>
      <c r="K46" s="35"/>
      <c r="L46" s="35"/>
      <c r="M46" s="30"/>
      <c r="N46" s="31"/>
      <c r="O46" s="32"/>
      <c r="P46" s="32"/>
      <c r="Q46" s="32"/>
      <c r="R46" s="32"/>
      <c r="S46" s="32"/>
      <c r="T46" s="32"/>
      <c r="U46" s="32"/>
      <c r="V46" s="32"/>
      <c r="W46" s="32"/>
      <c r="X46" s="32"/>
      <c r="Y46" s="32"/>
      <c r="Z46" s="32"/>
    </row>
    <row r="47" spans="1:26" x14ac:dyDescent="0.25">
      <c r="A47" s="22"/>
      <c r="B47" s="36" t="s">
        <v>213</v>
      </c>
      <c r="C47" s="31"/>
      <c r="D47" s="31"/>
      <c r="E47" s="31"/>
      <c r="F47" s="31"/>
      <c r="G47" s="31"/>
      <c r="H47" s="31"/>
      <c r="I47" s="33"/>
      <c r="J47" s="33"/>
      <c r="K47" s="33"/>
      <c r="L47" s="31"/>
      <c r="M47" s="31"/>
      <c r="N47" s="31"/>
      <c r="O47" s="32"/>
      <c r="P47" s="32"/>
      <c r="Q47" s="32"/>
      <c r="R47" s="32"/>
      <c r="S47" s="32"/>
      <c r="T47" s="32"/>
      <c r="U47" s="32"/>
      <c r="V47" s="32"/>
      <c r="W47" s="32"/>
      <c r="X47" s="32"/>
      <c r="Y47" s="32"/>
      <c r="Z47" s="32"/>
    </row>
    <row r="48" spans="1:26" x14ac:dyDescent="0.25">
      <c r="A48" s="22"/>
      <c r="B48" s="36" t="s">
        <v>66</v>
      </c>
      <c r="C48" s="31"/>
      <c r="D48" s="31"/>
      <c r="E48" s="31"/>
      <c r="F48" s="31"/>
      <c r="G48" s="31"/>
      <c r="H48" s="31"/>
      <c r="I48" s="33"/>
      <c r="J48" s="33"/>
      <c r="K48" s="33"/>
      <c r="L48" s="31"/>
      <c r="M48" s="31"/>
      <c r="N48" s="31"/>
      <c r="O48" s="32"/>
      <c r="P48" s="32"/>
      <c r="Q48" s="32"/>
      <c r="R48" s="32"/>
      <c r="S48" s="32"/>
      <c r="T48" s="32"/>
      <c r="U48" s="32"/>
      <c r="V48" s="32"/>
      <c r="W48" s="32"/>
      <c r="X48" s="32"/>
      <c r="Y48" s="32"/>
      <c r="Z48" s="32"/>
    </row>
    <row r="49" spans="1:39" x14ac:dyDescent="0.25">
      <c r="A49" s="22"/>
      <c r="B49" s="36" t="s">
        <v>67</v>
      </c>
      <c r="C49" s="31"/>
      <c r="D49" s="31"/>
      <c r="E49" s="31"/>
      <c r="F49" s="31"/>
      <c r="G49" s="31"/>
      <c r="H49" s="31"/>
      <c r="I49" s="33"/>
      <c r="J49" s="33"/>
      <c r="K49" s="33"/>
      <c r="L49" s="31"/>
      <c r="M49" s="31"/>
      <c r="N49" s="31"/>
      <c r="O49" s="32"/>
      <c r="P49" s="32"/>
      <c r="Q49" s="32"/>
      <c r="R49" s="32"/>
      <c r="S49" s="32"/>
      <c r="T49" s="32"/>
      <c r="U49" s="32"/>
      <c r="V49" s="32"/>
      <c r="W49" s="32"/>
      <c r="X49" s="32"/>
      <c r="Y49" s="32"/>
      <c r="Z49" s="32"/>
    </row>
    <row r="50" spans="1:39" x14ac:dyDescent="0.25">
      <c r="A50" s="22"/>
      <c r="B50" s="36" t="s">
        <v>68</v>
      </c>
      <c r="C50" s="31"/>
      <c r="D50" s="31"/>
      <c r="E50" s="31"/>
      <c r="F50" s="31"/>
      <c r="G50" s="31"/>
      <c r="H50" s="31"/>
      <c r="I50" s="33"/>
      <c r="J50" s="33"/>
      <c r="K50" s="33"/>
      <c r="L50" s="31"/>
      <c r="M50" s="31"/>
      <c r="N50" s="31"/>
      <c r="O50" s="32"/>
      <c r="P50" s="32"/>
      <c r="Q50" s="32"/>
      <c r="R50" s="32"/>
      <c r="S50" s="32"/>
      <c r="T50" s="32"/>
      <c r="U50" s="32"/>
      <c r="V50" s="32"/>
      <c r="W50" s="32"/>
      <c r="X50" s="32"/>
      <c r="Y50" s="32"/>
      <c r="Z50" s="32"/>
    </row>
    <row r="51" spans="1:39" x14ac:dyDescent="0.25">
      <c r="A51" s="22"/>
      <c r="B51" s="28"/>
      <c r="C51" s="31"/>
      <c r="D51" s="31"/>
      <c r="E51" s="31"/>
      <c r="F51" s="31"/>
      <c r="G51" s="31"/>
      <c r="H51" s="31"/>
      <c r="I51" s="33"/>
      <c r="J51" s="33"/>
      <c r="K51" s="33"/>
      <c r="L51" s="31"/>
      <c r="M51" s="31"/>
      <c r="N51" s="31"/>
      <c r="O51" s="32"/>
      <c r="P51" s="32"/>
      <c r="Q51" s="32"/>
      <c r="R51" s="32"/>
      <c r="S51" s="32"/>
      <c r="T51" s="32"/>
      <c r="U51" s="32"/>
      <c r="V51" s="32"/>
      <c r="W51" s="32"/>
      <c r="X51" s="32"/>
      <c r="Y51" s="32"/>
      <c r="Z51" s="32"/>
    </row>
    <row r="52" spans="1:39" ht="15.6" x14ac:dyDescent="0.3">
      <c r="A52" s="22"/>
      <c r="B52" s="534" t="str">
        <f>$B$1</f>
        <v xml:space="preserve">Jersey Central Power &amp; Light </v>
      </c>
      <c r="C52" s="534"/>
      <c r="D52" s="534"/>
      <c r="E52" s="534"/>
      <c r="F52" s="534"/>
      <c r="G52" s="534"/>
      <c r="H52" s="534"/>
      <c r="I52" s="534"/>
      <c r="J52" s="534"/>
      <c r="K52" s="534"/>
      <c r="L52" s="534"/>
      <c r="M52" s="31"/>
      <c r="N52" s="70"/>
      <c r="O52" s="32"/>
      <c r="P52" s="32"/>
      <c r="Q52" s="32"/>
      <c r="R52" s="32"/>
      <c r="S52" s="32"/>
      <c r="T52" s="32"/>
      <c r="U52" s="32"/>
      <c r="V52" s="32"/>
      <c r="W52" s="32"/>
      <c r="X52" s="32"/>
      <c r="Y52" s="32"/>
      <c r="Z52" s="32"/>
    </row>
    <row r="53" spans="1:39" ht="15.6" x14ac:dyDescent="0.3">
      <c r="A53" s="22"/>
      <c r="B53" s="534" t="str">
        <f>$B$2</f>
        <v>Attachment 2</v>
      </c>
      <c r="C53" s="534"/>
      <c r="D53" s="534"/>
      <c r="E53" s="534"/>
      <c r="F53" s="534"/>
      <c r="G53" s="534"/>
      <c r="H53" s="534"/>
      <c r="I53" s="534"/>
      <c r="J53" s="534"/>
      <c r="K53" s="534"/>
      <c r="L53" s="534"/>
      <c r="M53" s="70"/>
      <c r="N53" s="31"/>
      <c r="O53" s="32"/>
      <c r="P53" s="32"/>
      <c r="Q53" s="32"/>
      <c r="R53" s="32"/>
      <c r="S53" s="32"/>
      <c r="T53" s="32"/>
      <c r="U53" s="32"/>
      <c r="V53" s="32"/>
      <c r="X53" s="32"/>
      <c r="Y53" s="32"/>
      <c r="Z53" s="32"/>
      <c r="AA53" s="55"/>
    </row>
    <row r="54" spans="1:39" x14ac:dyDescent="0.25">
      <c r="A54" s="22"/>
      <c r="B54" s="28"/>
      <c r="C54" s="31"/>
      <c r="D54" s="31"/>
      <c r="E54" s="31"/>
      <c r="F54" s="31"/>
      <c r="G54" s="31"/>
      <c r="H54" s="31"/>
      <c r="I54" s="33"/>
      <c r="J54" s="33"/>
      <c r="K54" s="33"/>
      <c r="L54" s="31"/>
      <c r="M54" s="31"/>
      <c r="N54" s="31"/>
      <c r="O54" s="32"/>
      <c r="P54" s="32"/>
      <c r="Q54" s="32"/>
      <c r="R54" s="32"/>
      <c r="S54" s="32"/>
      <c r="T54" s="32"/>
      <c r="U54" s="32"/>
      <c r="V54" s="32"/>
      <c r="W54" s="32"/>
      <c r="X54" s="301"/>
      <c r="Y54" s="32"/>
      <c r="Z54" s="32"/>
    </row>
    <row r="55" spans="1:39" x14ac:dyDescent="0.25">
      <c r="A55" s="22"/>
      <c r="B55" s="28"/>
      <c r="C55" s="31"/>
      <c r="D55" s="31"/>
      <c r="E55" s="31"/>
      <c r="F55" s="31"/>
      <c r="G55" s="31"/>
      <c r="H55" s="31"/>
      <c r="I55" s="33"/>
      <c r="J55" s="33"/>
      <c r="K55" s="33"/>
      <c r="L55" s="31"/>
      <c r="M55" s="31"/>
      <c r="N55" s="31"/>
      <c r="O55" s="32"/>
      <c r="P55" s="32"/>
      <c r="Q55" s="32"/>
      <c r="R55" s="32"/>
      <c r="S55" s="32"/>
      <c r="T55" s="32"/>
      <c r="U55" s="32"/>
      <c r="V55" s="32"/>
      <c r="X55" s="31"/>
      <c r="Y55" s="301" t="s">
        <v>438</v>
      </c>
      <c r="Z55" s="32"/>
    </row>
    <row r="56" spans="1:39" x14ac:dyDescent="0.25">
      <c r="A56" s="18" t="s">
        <v>36</v>
      </c>
      <c r="B56" s="37" t="s">
        <v>48</v>
      </c>
      <c r="E56" s="31"/>
      <c r="F56" s="31"/>
      <c r="G56" s="31"/>
      <c r="H56" s="31"/>
      <c r="I56" s="33"/>
      <c r="J56" s="33"/>
      <c r="K56" s="33"/>
      <c r="O56" s="16"/>
      <c r="Y56" s="296" t="s">
        <v>253</v>
      </c>
      <c r="Z56" s="135"/>
      <c r="AJ56" s="461" t="s">
        <v>389</v>
      </c>
      <c r="AK56" s="461" t="s">
        <v>439</v>
      </c>
      <c r="AL56" s="461"/>
      <c r="AM56" s="463"/>
    </row>
    <row r="57" spans="1:39" x14ac:dyDescent="0.25">
      <c r="A57" s="22"/>
      <c r="B57" s="39" t="s">
        <v>430</v>
      </c>
      <c r="N57" s="40"/>
      <c r="O57" s="41"/>
      <c r="P57" s="41"/>
      <c r="Q57" s="41" t="s">
        <v>266</v>
      </c>
      <c r="R57" s="41"/>
      <c r="S57" s="41"/>
      <c r="T57" s="41"/>
      <c r="U57" s="42"/>
      <c r="W57" s="26" t="s">
        <v>13</v>
      </c>
      <c r="AB57" s="26" t="s">
        <v>305</v>
      </c>
      <c r="AJ57" s="461" t="s">
        <v>391</v>
      </c>
      <c r="AK57" s="464" t="s">
        <v>440</v>
      </c>
      <c r="AL57" s="461"/>
      <c r="AM57" s="463"/>
    </row>
    <row r="58" spans="1:39" x14ac:dyDescent="0.25">
      <c r="A58" s="22"/>
      <c r="B58" s="17" t="s">
        <v>38</v>
      </c>
      <c r="C58" s="26"/>
      <c r="D58" s="26"/>
      <c r="E58" s="26" t="str">
        <f>+E$13</f>
        <v>RT{1}</v>
      </c>
      <c r="F58" s="26" t="str">
        <f>+F$13</f>
        <v>RS{2}</v>
      </c>
      <c r="G58" s="26" t="str">
        <f>+G$13</f>
        <v>GS{3}</v>
      </c>
      <c r="H58" s="26" t="s">
        <v>203</v>
      </c>
      <c r="I58" s="26" t="str">
        <f>+I$13</f>
        <v>OL/SL</v>
      </c>
      <c r="J58" s="26" t="s">
        <v>13</v>
      </c>
      <c r="K58" s="26"/>
      <c r="L58" s="26"/>
      <c r="M58" s="26" t="s">
        <v>179</v>
      </c>
      <c r="N58" s="43"/>
      <c r="O58" s="44"/>
      <c r="P58" s="44"/>
      <c r="Q58" s="26" t="str">
        <f>+Q$13</f>
        <v>RT{1}</v>
      </c>
      <c r="R58" s="26" t="str">
        <f>+R$13</f>
        <v>RS{2}</v>
      </c>
      <c r="S58" s="26" t="str">
        <f>+S$13</f>
        <v>GS{3}</v>
      </c>
      <c r="T58" s="26" t="str">
        <f>+T$13</f>
        <v>GST</v>
      </c>
      <c r="U58" s="45" t="str">
        <f>+U$13</f>
        <v>OL/SL</v>
      </c>
      <c r="V58" s="26"/>
      <c r="W58" s="26" t="s">
        <v>59</v>
      </c>
      <c r="X58" s="26" t="s">
        <v>64</v>
      </c>
      <c r="Y58" s="26" t="s">
        <v>63</v>
      </c>
      <c r="Z58" s="311" t="s">
        <v>60</v>
      </c>
      <c r="AA58" s="26" t="s">
        <v>52</v>
      </c>
      <c r="AB58" s="26" t="s">
        <v>306</v>
      </c>
      <c r="AC58" s="26" t="s">
        <v>53</v>
      </c>
      <c r="AD58" s="302" t="s">
        <v>308</v>
      </c>
      <c r="AF58" s="26" t="s">
        <v>55</v>
      </c>
      <c r="AG58" s="26" t="s">
        <v>54</v>
      </c>
      <c r="AJ58" s="461"/>
      <c r="AK58" s="461" t="s">
        <v>320</v>
      </c>
      <c r="AL58" s="461" t="s">
        <v>321</v>
      </c>
      <c r="AM58" s="463"/>
    </row>
    <row r="59" spans="1:39" x14ac:dyDescent="0.25">
      <c r="A59" s="22"/>
      <c r="M59" s="16" t="s">
        <v>180</v>
      </c>
      <c r="N59" s="46"/>
      <c r="O59" s="47"/>
      <c r="P59" s="47"/>
      <c r="Q59" s="47"/>
      <c r="R59" s="47"/>
      <c r="S59" s="47"/>
      <c r="T59" s="47"/>
      <c r="U59" s="48"/>
      <c r="AJ59" s="461"/>
      <c r="AK59" s="461" t="s">
        <v>441</v>
      </c>
      <c r="AL59" s="461" t="s">
        <v>441</v>
      </c>
      <c r="AM59" s="463"/>
    </row>
    <row r="60" spans="1:39" x14ac:dyDescent="0.25">
      <c r="A60" s="22"/>
      <c r="B60" s="28" t="s">
        <v>1</v>
      </c>
      <c r="C60" s="49"/>
      <c r="D60" s="49"/>
      <c r="E60" s="50" t="e">
        <f>ROUND(AA60,0)+ROUND($W60/1000,0)</f>
        <v>#REF!</v>
      </c>
      <c r="F60" s="50">
        <f>ROUND(AB60,0)+ROUND($Z60/1000,0)</f>
        <v>820955</v>
      </c>
      <c r="G60" s="50">
        <f t="shared" ref="G60:G71" si="3">ROUND(AC60,0)-ROUND(SUM($X60/1000),0)</f>
        <v>524558</v>
      </c>
      <c r="H60" s="50" t="e">
        <f>ROUND(AG60,0)</f>
        <v>#REF!</v>
      </c>
      <c r="I60" s="50">
        <f>ROUND(AF60,0)</f>
        <v>9599</v>
      </c>
      <c r="J60" s="50" t="e">
        <f t="shared" ref="J60:J72" si="4">SUM(E60:I60)</f>
        <v>#REF!</v>
      </c>
      <c r="K60" s="50"/>
      <c r="L60" s="49"/>
      <c r="M60" s="50" t="e">
        <f t="shared" ref="M60:M71" si="5">E60-ROUND(SUM($W60/1000),0)</f>
        <v>#REF!</v>
      </c>
      <c r="N60" s="51" t="s">
        <v>28</v>
      </c>
      <c r="O60" s="52"/>
      <c r="P60" s="53"/>
      <c r="Q60" s="53" t="e">
        <f>SUM(E60:E64,E69:E71)</f>
        <v>#REF!</v>
      </c>
      <c r="R60" s="53">
        <f>SUM(F60:F64,F69:F71)</f>
        <v>5284599</v>
      </c>
      <c r="S60" s="53">
        <f>SUM(G60:G64,G69:G71)</f>
        <v>3739590</v>
      </c>
      <c r="T60" s="53" t="e">
        <f>SUM(H60:H64,H69:H71)</f>
        <v>#REF!</v>
      </c>
      <c r="U60" s="54">
        <f>SUM(I60:I64,I69:I71)</f>
        <v>76679</v>
      </c>
      <c r="V60" s="318">
        <v>42370</v>
      </c>
      <c r="W60" s="297">
        <v>839691</v>
      </c>
      <c r="X60" s="298">
        <v>17339</v>
      </c>
      <c r="Y60" s="55">
        <f t="shared" ref="Y60:Y71" si="6">W60-X60</f>
        <v>822352</v>
      </c>
      <c r="Z60" s="298">
        <v>2001273.84929</v>
      </c>
      <c r="AA60" s="312" t="e">
        <f>(#REF!+#REF!)/1000</f>
        <v>#REF!</v>
      </c>
      <c r="AB60" s="300">
        <v>818954.24774287606</v>
      </c>
      <c r="AC60" s="50">
        <f>AD60-(AK60/1000)</f>
        <v>524575.09304191987</v>
      </c>
      <c r="AD60" s="300">
        <v>578391.91004191991</v>
      </c>
      <c r="AF60" s="300">
        <v>9599.4210000000003</v>
      </c>
      <c r="AG60" s="312" t="e">
        <f>(#REF!+#REF!-AL60)/1000</f>
        <v>#REF!</v>
      </c>
      <c r="AJ60" s="461">
        <v>201501</v>
      </c>
      <c r="AK60" s="462">
        <v>53816817</v>
      </c>
      <c r="AL60" s="462">
        <v>41498852</v>
      </c>
      <c r="AM60" s="463"/>
    </row>
    <row r="61" spans="1:39" x14ac:dyDescent="0.25">
      <c r="A61" s="22"/>
      <c r="B61" s="28" t="s">
        <v>2</v>
      </c>
      <c r="C61" s="49"/>
      <c r="D61" s="49"/>
      <c r="E61" s="50" t="e">
        <f>ROUND(AA61,0)+ROUND($W61/1000,0)</f>
        <v>#REF!</v>
      </c>
      <c r="F61" s="50">
        <f>ROUND(AB61,0)+ROUND($Z61/1000,0)</f>
        <v>760228</v>
      </c>
      <c r="G61" s="50">
        <f t="shared" si="3"/>
        <v>475899</v>
      </c>
      <c r="H61" s="50" t="e">
        <f t="shared" ref="H61:H71" si="7">ROUND(AG61,0)</f>
        <v>#REF!</v>
      </c>
      <c r="I61" s="50">
        <f t="shared" ref="I61:I71" si="8">ROUND(AF61,0)</f>
        <v>9599</v>
      </c>
      <c r="J61" s="50" t="e">
        <f t="shared" si="4"/>
        <v>#REF!</v>
      </c>
      <c r="K61" s="50"/>
      <c r="L61" s="49"/>
      <c r="M61" s="50" t="e">
        <f t="shared" si="5"/>
        <v>#REF!</v>
      </c>
      <c r="N61" s="51"/>
      <c r="O61" s="52"/>
      <c r="P61" s="114" t="s">
        <v>193</v>
      </c>
      <c r="Q61" s="53" t="e">
        <f>SUMPRODUCT(E33:E37,M60:M64)+SUMPRODUCT(E42:E44,M69:M71)</f>
        <v>#REF!</v>
      </c>
      <c r="R61" s="47"/>
      <c r="S61" s="132" t="s">
        <v>177</v>
      </c>
      <c r="T61" s="53" t="e">
        <f>SUMPRODUCT(H33:H37,H60:H64)+SUMPRODUCT(H42:H44,H69:H71)</f>
        <v>#REF!</v>
      </c>
      <c r="U61" s="48" t="e">
        <f>T61/T60</f>
        <v>#REF!</v>
      </c>
      <c r="V61" s="318">
        <v>42401</v>
      </c>
      <c r="W61" s="297">
        <v>833731</v>
      </c>
      <c r="X61" s="298">
        <v>17223</v>
      </c>
      <c r="Y61" s="55">
        <f t="shared" si="6"/>
        <v>816508</v>
      </c>
      <c r="Z61" s="298">
        <v>1943876.2375954001</v>
      </c>
      <c r="AA61" s="312" t="e">
        <f>(#REF!+#REF!)/1000</f>
        <v>#REF!</v>
      </c>
      <c r="AB61" s="300">
        <v>758283.74480347394</v>
      </c>
      <c r="AC61" s="50">
        <f t="shared" ref="AC61:AC71" si="9">AD61-(AK61/1000)</f>
        <v>475916.12941972294</v>
      </c>
      <c r="AD61" s="300">
        <v>533528.07741972292</v>
      </c>
      <c r="AF61" s="300">
        <v>9599.4210000000003</v>
      </c>
      <c r="AG61" s="312" t="e">
        <f>(#REF!+#REF!-AL61)/1000</f>
        <v>#REF!</v>
      </c>
      <c r="AJ61" s="461">
        <v>201502</v>
      </c>
      <c r="AK61" s="462">
        <v>57611948</v>
      </c>
      <c r="AL61" s="462">
        <v>43871495</v>
      </c>
    </row>
    <row r="62" spans="1:39" x14ac:dyDescent="0.25">
      <c r="A62" s="22"/>
      <c r="B62" s="28" t="s">
        <v>3</v>
      </c>
      <c r="C62" s="49"/>
      <c r="D62" s="49"/>
      <c r="E62" s="50" t="e">
        <f>ROUND(AA62,0)+ROUND($W62/1000,0)</f>
        <v>#REF!</v>
      </c>
      <c r="F62" s="50">
        <f>ROUND(AB62,0)+ROUND($Z62/1000,0)</f>
        <v>690223</v>
      </c>
      <c r="G62" s="50">
        <f t="shared" si="3"/>
        <v>505845</v>
      </c>
      <c r="H62" s="50" t="e">
        <f t="shared" si="7"/>
        <v>#REF!</v>
      </c>
      <c r="I62" s="50">
        <f t="shared" si="8"/>
        <v>9599</v>
      </c>
      <c r="J62" s="50" t="e">
        <f t="shared" si="4"/>
        <v>#REF!</v>
      </c>
      <c r="K62" s="50"/>
      <c r="L62" s="49"/>
      <c r="M62" s="50" t="e">
        <f t="shared" si="5"/>
        <v>#REF!</v>
      </c>
      <c r="N62" s="51"/>
      <c r="O62" s="52"/>
      <c r="P62" s="114" t="s">
        <v>194</v>
      </c>
      <c r="Q62" s="53" t="e">
        <f>SUMPRODUCT(Q33:Q37,M60:M64)+SUMPRODUCT(Q42:Q44,M69:M71)</f>
        <v>#REF!</v>
      </c>
      <c r="R62" s="47"/>
      <c r="S62" s="132" t="s">
        <v>178</v>
      </c>
      <c r="T62" s="53" t="e">
        <f>+T60-T61</f>
        <v>#REF!</v>
      </c>
      <c r="U62" s="48"/>
      <c r="V62" s="318">
        <v>42430</v>
      </c>
      <c r="W62" s="297">
        <v>828194</v>
      </c>
      <c r="X62" s="298">
        <v>17114</v>
      </c>
      <c r="Y62" s="55">
        <f t="shared" si="6"/>
        <v>811080</v>
      </c>
      <c r="Z62" s="298">
        <v>1747177.0452675</v>
      </c>
      <c r="AA62" s="312" t="e">
        <f>(#REF!+#REF!)/1000</f>
        <v>#REF!</v>
      </c>
      <c r="AB62" s="300">
        <v>688476.34498455201</v>
      </c>
      <c r="AC62" s="50">
        <f t="shared" si="9"/>
        <v>505862.27735106205</v>
      </c>
      <c r="AD62" s="300">
        <v>562781.22535106202</v>
      </c>
      <c r="AF62" s="300">
        <v>9599.4210000000003</v>
      </c>
      <c r="AG62" s="312" t="e">
        <f>(#REF!+#REF!-AL62)/1000</f>
        <v>#REF!</v>
      </c>
      <c r="AJ62" s="461">
        <v>201503</v>
      </c>
      <c r="AK62" s="462">
        <v>56918948</v>
      </c>
      <c r="AL62" s="462">
        <v>43542585</v>
      </c>
    </row>
    <row r="63" spans="1:39" x14ac:dyDescent="0.25">
      <c r="A63" s="22"/>
      <c r="B63" s="28" t="s">
        <v>4</v>
      </c>
      <c r="C63" s="49"/>
      <c r="D63" s="49"/>
      <c r="E63" s="50" t="e">
        <f>ROUND(AA63,0)+ROUND($W63/1000,0)</f>
        <v>#REF!</v>
      </c>
      <c r="F63" s="50">
        <f>ROUND(AB63,0)+ROUND($Z63/1000,0)</f>
        <v>608701</v>
      </c>
      <c r="G63" s="50">
        <f t="shared" si="3"/>
        <v>468368</v>
      </c>
      <c r="H63" s="50" t="e">
        <f t="shared" si="7"/>
        <v>#REF!</v>
      </c>
      <c r="I63" s="50">
        <f t="shared" si="8"/>
        <v>9599</v>
      </c>
      <c r="J63" s="50" t="e">
        <f t="shared" si="4"/>
        <v>#REF!</v>
      </c>
      <c r="K63" s="50"/>
      <c r="L63" s="49"/>
      <c r="M63" s="50" t="e">
        <f t="shared" si="5"/>
        <v>#REF!</v>
      </c>
      <c r="N63" s="46"/>
      <c r="O63" s="47"/>
      <c r="P63" s="114" t="s">
        <v>264</v>
      </c>
      <c r="Q63" s="53">
        <f>SUM(W60:W64,W69:W71)/1000</f>
        <v>6489.4269999999997</v>
      </c>
      <c r="R63" s="47"/>
      <c r="S63" s="47"/>
      <c r="T63" s="47"/>
      <c r="U63" s="48"/>
      <c r="V63" s="318">
        <v>42461</v>
      </c>
      <c r="W63" s="297">
        <v>822316</v>
      </c>
      <c r="X63" s="298">
        <v>16998</v>
      </c>
      <c r="Y63" s="55">
        <f t="shared" si="6"/>
        <v>805318</v>
      </c>
      <c r="Z63" s="298">
        <v>1322427.6449190001</v>
      </c>
      <c r="AA63" s="312" t="e">
        <f>(#REF!+#REF!)/1000</f>
        <v>#REF!</v>
      </c>
      <c r="AB63" s="300">
        <v>607379.23209884204</v>
      </c>
      <c r="AC63" s="50">
        <f t="shared" si="9"/>
        <v>468385.24631141196</v>
      </c>
      <c r="AD63" s="300">
        <v>528774.45531141199</v>
      </c>
      <c r="AF63" s="300">
        <v>9599.4210000000003</v>
      </c>
      <c r="AG63" s="312" t="e">
        <f>(#REF!+#REF!-AL63)/1000</f>
        <v>#REF!</v>
      </c>
      <c r="AJ63" s="461">
        <v>201504</v>
      </c>
      <c r="AK63" s="462">
        <v>60389209</v>
      </c>
      <c r="AL63" s="462">
        <v>42073477</v>
      </c>
    </row>
    <row r="64" spans="1:39" x14ac:dyDescent="0.25">
      <c r="A64" s="22"/>
      <c r="B64" s="28" t="s">
        <v>5</v>
      </c>
      <c r="C64" s="49"/>
      <c r="D64" s="49"/>
      <c r="E64" s="50" t="e">
        <f>ROUND(AA64,0)+ROUND($W64/1000,0)</f>
        <v>#REF!</v>
      </c>
      <c r="F64" s="50">
        <f>ROUND(AB64,0)+ROUND($Z64/1000,0)</f>
        <v>532588</v>
      </c>
      <c r="G64" s="50">
        <f t="shared" si="3"/>
        <v>415477</v>
      </c>
      <c r="H64" s="196" t="e">
        <f t="shared" si="7"/>
        <v>#REF!</v>
      </c>
      <c r="I64" s="50">
        <f t="shared" si="8"/>
        <v>9594</v>
      </c>
      <c r="J64" s="50" t="e">
        <f t="shared" si="4"/>
        <v>#REF!</v>
      </c>
      <c r="K64" s="50"/>
      <c r="L64" s="49"/>
      <c r="M64" s="50" t="e">
        <f t="shared" si="5"/>
        <v>#REF!</v>
      </c>
      <c r="N64" s="51" t="s">
        <v>29</v>
      </c>
      <c r="O64" s="52"/>
      <c r="P64" s="53"/>
      <c r="Q64" s="53" t="e">
        <f>+SUM(E65:E68)</f>
        <v>#REF!</v>
      </c>
      <c r="R64" s="53">
        <f>+SUM(F65:F68)</f>
        <v>3663343</v>
      </c>
      <c r="S64" s="53">
        <f>+SUM(G65:G68)</f>
        <v>2175782</v>
      </c>
      <c r="T64" s="53" t="e">
        <f>+SUM(H65:H68)</f>
        <v>#REF!</v>
      </c>
      <c r="U64" s="54">
        <f>+SUM(I65:I68)</f>
        <v>38325</v>
      </c>
      <c r="V64" s="318">
        <v>42491</v>
      </c>
      <c r="W64" s="297">
        <v>816667</v>
      </c>
      <c r="X64" s="298">
        <v>16887</v>
      </c>
      <c r="Y64" s="55">
        <f t="shared" si="6"/>
        <v>799780</v>
      </c>
      <c r="Z64" s="298">
        <v>943704.82097080001</v>
      </c>
      <c r="AA64" s="312" t="e">
        <f>(#REF!+#REF!)/1000</f>
        <v>#REF!</v>
      </c>
      <c r="AB64" s="300">
        <v>531643.50886798499</v>
      </c>
      <c r="AC64" s="50">
        <f t="shared" si="9"/>
        <v>415494.10480375501</v>
      </c>
      <c r="AD64" s="300">
        <v>474386.24180375499</v>
      </c>
      <c r="AF64" s="300">
        <v>9594.2080000000005</v>
      </c>
      <c r="AG64" s="312" t="e">
        <f>(#REF!+#REF!-AL64)/1000</f>
        <v>#REF!</v>
      </c>
      <c r="AJ64" s="461">
        <v>201505</v>
      </c>
      <c r="AK64" s="462">
        <v>58892137</v>
      </c>
      <c r="AL64" s="462">
        <v>39249137</v>
      </c>
    </row>
    <row r="65" spans="1:38" x14ac:dyDescent="0.25">
      <c r="A65" s="22"/>
      <c r="B65" s="187" t="s">
        <v>6</v>
      </c>
      <c r="C65" s="188"/>
      <c r="D65" s="188"/>
      <c r="E65" s="189" t="e">
        <f>ROUND(AA65,0)+ROUND(SUM($W65+$Z65)/1000,0)</f>
        <v>#REF!</v>
      </c>
      <c r="F65" s="189">
        <f>ROUND(AB65,0)</f>
        <v>710762</v>
      </c>
      <c r="G65" s="189">
        <f t="shared" si="3"/>
        <v>504870</v>
      </c>
      <c r="H65" s="50" t="e">
        <f t="shared" si="7"/>
        <v>#REF!</v>
      </c>
      <c r="I65" s="189">
        <f t="shared" si="8"/>
        <v>9589</v>
      </c>
      <c r="J65" s="190" t="e">
        <f t="shared" si="4"/>
        <v>#REF!</v>
      </c>
      <c r="K65" s="159"/>
      <c r="L65" s="49"/>
      <c r="M65" s="198" t="e">
        <f t="shared" si="5"/>
        <v>#REF!</v>
      </c>
      <c r="N65" s="114"/>
      <c r="O65" s="52"/>
      <c r="P65" s="131" t="s">
        <v>151</v>
      </c>
      <c r="Q65" s="53" t="e">
        <f>SUMPRODUCT(E38:E41,M65:M68)</f>
        <v>#REF!</v>
      </c>
      <c r="R65" s="159">
        <f>Q$95/1000*T$95/(S$95/1000)</f>
        <v>1928314.2732650673</v>
      </c>
      <c r="S65" s="132" t="s">
        <v>177</v>
      </c>
      <c r="T65" s="53" t="e">
        <f>+SUMPRODUCT(H38:H41,H65:H68)</f>
        <v>#REF!</v>
      </c>
      <c r="U65" s="56" t="e">
        <f>T65/T64</f>
        <v>#REF!</v>
      </c>
      <c r="V65" s="318">
        <v>42522</v>
      </c>
      <c r="W65" s="297">
        <v>810872</v>
      </c>
      <c r="X65" s="298">
        <v>16773</v>
      </c>
      <c r="Y65" s="55">
        <f t="shared" si="6"/>
        <v>794099</v>
      </c>
      <c r="Z65" s="298">
        <v>1064557.4453193999</v>
      </c>
      <c r="AA65" s="322" t="e">
        <f>(#REF!+#REF!-Z65)/1000</f>
        <v>#REF!</v>
      </c>
      <c r="AB65" s="300">
        <v>710761.80572972004</v>
      </c>
      <c r="AC65" s="50">
        <f t="shared" si="9"/>
        <v>504887.06428078993</v>
      </c>
      <c r="AD65" s="300">
        <v>563451.33428078995</v>
      </c>
      <c r="AF65" s="300">
        <v>9588.9979999999996</v>
      </c>
      <c r="AG65" s="312" t="e">
        <f>(#REF!+#REF!-AL65)/1000</f>
        <v>#REF!</v>
      </c>
      <c r="AJ65" s="461">
        <v>201506</v>
      </c>
      <c r="AK65" s="462">
        <v>58564270</v>
      </c>
      <c r="AL65" s="462">
        <v>41828428</v>
      </c>
    </row>
    <row r="66" spans="1:38" x14ac:dyDescent="0.25">
      <c r="A66" s="22"/>
      <c r="B66" s="191" t="s">
        <v>7</v>
      </c>
      <c r="C66" s="192"/>
      <c r="D66" s="192"/>
      <c r="E66" s="159" t="e">
        <f>ROUND(AA66,0)+ROUND(SUM($W66+$Z66)/1000,0)</f>
        <v>#REF!</v>
      </c>
      <c r="F66" s="159">
        <f>ROUND(AB66,0)</f>
        <v>979330</v>
      </c>
      <c r="G66" s="159">
        <f t="shared" si="3"/>
        <v>569455</v>
      </c>
      <c r="H66" s="50" t="e">
        <f t="shared" si="7"/>
        <v>#REF!</v>
      </c>
      <c r="I66" s="159">
        <f t="shared" si="8"/>
        <v>9584</v>
      </c>
      <c r="J66" s="193" t="e">
        <f t="shared" si="4"/>
        <v>#REF!</v>
      </c>
      <c r="K66" s="159"/>
      <c r="L66" s="49"/>
      <c r="M66" s="199" t="e">
        <f t="shared" si="5"/>
        <v>#REF!</v>
      </c>
      <c r="N66" s="114"/>
      <c r="O66" s="52"/>
      <c r="P66" s="131" t="s">
        <v>152</v>
      </c>
      <c r="Q66" s="53" t="e">
        <f>SUMPRODUCT(Q38:Q41,M65:M68)</f>
        <v>#REF!</v>
      </c>
      <c r="R66" s="159">
        <f>R$95/1000*T$95/(S$95/1000)</f>
        <v>1735028.726734933</v>
      </c>
      <c r="S66" s="132" t="s">
        <v>178</v>
      </c>
      <c r="T66" s="53" t="e">
        <f>+T64-T65</f>
        <v>#REF!</v>
      </c>
      <c r="U66" s="48"/>
      <c r="V66" s="318">
        <v>42552</v>
      </c>
      <c r="W66" s="297">
        <v>805303</v>
      </c>
      <c r="X66" s="298">
        <v>16664</v>
      </c>
      <c r="Y66" s="55">
        <f t="shared" si="6"/>
        <v>788639</v>
      </c>
      <c r="Z66" s="298">
        <v>1241633.6936057999</v>
      </c>
      <c r="AA66" s="322" t="e">
        <f>(#REF!+#REF!-Z66)/1000</f>
        <v>#REF!</v>
      </c>
      <c r="AB66" s="300">
        <v>979329.56212510297</v>
      </c>
      <c r="AC66" s="50">
        <f t="shared" si="9"/>
        <v>569471.99768213695</v>
      </c>
      <c r="AD66" s="300">
        <v>635520.26768213697</v>
      </c>
      <c r="AF66" s="300">
        <v>9583.7900000000009</v>
      </c>
      <c r="AG66" s="312" t="e">
        <f>(#REF!+#REF!-AL66)/1000</f>
        <v>#REF!</v>
      </c>
      <c r="AJ66" s="461">
        <v>201507</v>
      </c>
      <c r="AK66" s="462">
        <v>66048270</v>
      </c>
      <c r="AL66" s="462">
        <v>45230531</v>
      </c>
    </row>
    <row r="67" spans="1:38" x14ac:dyDescent="0.25">
      <c r="A67" s="22"/>
      <c r="B67" s="191" t="s">
        <v>8</v>
      </c>
      <c r="C67" s="192"/>
      <c r="D67" s="192"/>
      <c r="E67" s="159" t="e">
        <f>ROUND(AA67,0)+ROUND(SUM($W67+$Z67)/1000,0)</f>
        <v>#REF!</v>
      </c>
      <c r="F67" s="159">
        <f>ROUND(AB67,0)</f>
        <v>1066821</v>
      </c>
      <c r="G67" s="159">
        <f t="shared" si="3"/>
        <v>565395</v>
      </c>
      <c r="H67" s="50" t="e">
        <f t="shared" si="7"/>
        <v>#REF!</v>
      </c>
      <c r="I67" s="159">
        <f t="shared" si="8"/>
        <v>9579</v>
      </c>
      <c r="J67" s="193" t="e">
        <f t="shared" si="4"/>
        <v>#REF!</v>
      </c>
      <c r="K67" s="159"/>
      <c r="L67" s="49"/>
      <c r="M67" s="199" t="e">
        <f t="shared" si="5"/>
        <v>#REF!</v>
      </c>
      <c r="N67" s="58"/>
      <c r="O67" s="58"/>
      <c r="P67" s="114" t="s">
        <v>265</v>
      </c>
      <c r="Q67" s="53">
        <f>SUM(W65:W68)/1000</f>
        <v>3209.6790000000001</v>
      </c>
      <c r="R67" s="66"/>
      <c r="S67" s="58"/>
      <c r="T67" s="58"/>
      <c r="U67" s="59"/>
      <c r="V67" s="318">
        <v>42583</v>
      </c>
      <c r="W67" s="297">
        <v>799589</v>
      </c>
      <c r="X67" s="298">
        <v>16552</v>
      </c>
      <c r="Y67" s="55">
        <f t="shared" si="6"/>
        <v>783037</v>
      </c>
      <c r="Z67" s="298">
        <v>1305419.7117125001</v>
      </c>
      <c r="AA67" s="322" t="e">
        <f>(#REF!+#REF!-Z67)/1000</f>
        <v>#REF!</v>
      </c>
      <c r="AB67" s="300">
        <v>1066820.93710244</v>
      </c>
      <c r="AC67" s="50">
        <f t="shared" si="9"/>
        <v>565411.557614989</v>
      </c>
      <c r="AD67" s="300">
        <v>634365.96061498905</v>
      </c>
      <c r="AE67" s="21"/>
      <c r="AF67" s="300">
        <v>9578.5820000000003</v>
      </c>
      <c r="AG67" s="312" t="e">
        <f>(#REF!+#REF!-AL67)/1000</f>
        <v>#REF!</v>
      </c>
      <c r="AH67" s="21"/>
      <c r="AJ67" s="461">
        <v>201508</v>
      </c>
      <c r="AK67" s="462">
        <v>68954403</v>
      </c>
      <c r="AL67" s="462">
        <v>47522473</v>
      </c>
    </row>
    <row r="68" spans="1:38" x14ac:dyDescent="0.25">
      <c r="A68" s="22"/>
      <c r="B68" s="194" t="s">
        <v>9</v>
      </c>
      <c r="C68" s="195"/>
      <c r="D68" s="195"/>
      <c r="E68" s="196" t="e">
        <f>ROUND(AA68,0)+ROUND(SUM($W68+$Z68)/1000,0)</f>
        <v>#REF!</v>
      </c>
      <c r="F68" s="196">
        <f>ROUND(AB68,0)</f>
        <v>906430</v>
      </c>
      <c r="G68" s="196">
        <f t="shared" si="3"/>
        <v>536062</v>
      </c>
      <c r="H68" s="196" t="e">
        <f t="shared" si="7"/>
        <v>#REF!</v>
      </c>
      <c r="I68" s="196">
        <f t="shared" si="8"/>
        <v>9573</v>
      </c>
      <c r="J68" s="197" t="e">
        <f t="shared" si="4"/>
        <v>#REF!</v>
      </c>
      <c r="K68" s="159"/>
      <c r="L68" s="49"/>
      <c r="M68" s="200" t="e">
        <f t="shared" si="5"/>
        <v>#REF!</v>
      </c>
      <c r="N68" s="202" t="s">
        <v>256</v>
      </c>
      <c r="O68" s="41"/>
      <c r="P68" s="41"/>
      <c r="Q68" s="41" t="s">
        <v>130</v>
      </c>
      <c r="R68" s="41"/>
      <c r="S68" s="41"/>
      <c r="T68" s="41"/>
      <c r="U68" s="42"/>
      <c r="V68" s="318">
        <v>42614</v>
      </c>
      <c r="W68" s="297">
        <v>793915</v>
      </c>
      <c r="X68" s="298">
        <v>16440</v>
      </c>
      <c r="Y68" s="55">
        <f t="shared" si="6"/>
        <v>777475</v>
      </c>
      <c r="Z68" s="298">
        <v>1166777.4301261001</v>
      </c>
      <c r="AA68" s="322" t="e">
        <f>(#REF!+#REF!-Z68)/1000</f>
        <v>#REF!</v>
      </c>
      <c r="AB68" s="300">
        <v>906429.75180573901</v>
      </c>
      <c r="AC68" s="50">
        <f t="shared" si="9"/>
        <v>536078.44287879101</v>
      </c>
      <c r="AD68" s="300">
        <v>605105.36187879101</v>
      </c>
      <c r="AE68" s="174"/>
      <c r="AF68" s="300">
        <v>9573.3799999999992</v>
      </c>
      <c r="AG68" s="312" t="e">
        <f>(#REF!+#REF!-AL68)/1000</f>
        <v>#REF!</v>
      </c>
      <c r="AH68" s="307"/>
      <c r="AJ68" s="461">
        <v>201509</v>
      </c>
      <c r="AK68" s="462">
        <v>69026919</v>
      </c>
      <c r="AL68" s="462">
        <v>47036757</v>
      </c>
    </row>
    <row r="69" spans="1:38" x14ac:dyDescent="0.25">
      <c r="A69" s="22"/>
      <c r="B69" s="28" t="s">
        <v>10</v>
      </c>
      <c r="C69" s="49"/>
      <c r="D69" s="49"/>
      <c r="E69" s="50" t="e">
        <f>ROUND(AA69,0)+ROUND($W69/1000,0)</f>
        <v>#REF!</v>
      </c>
      <c r="F69" s="50">
        <f>ROUND(AB69,0)+ROUND($Z69/1000,0)</f>
        <v>618243</v>
      </c>
      <c r="G69" s="50">
        <f t="shared" si="3"/>
        <v>472864</v>
      </c>
      <c r="H69" s="50" t="e">
        <f t="shared" si="7"/>
        <v>#REF!</v>
      </c>
      <c r="I69" s="50">
        <f t="shared" si="8"/>
        <v>9568</v>
      </c>
      <c r="J69" s="50" t="e">
        <f t="shared" si="4"/>
        <v>#REF!</v>
      </c>
      <c r="K69" s="50"/>
      <c r="L69" s="49"/>
      <c r="M69" s="50" t="e">
        <f t="shared" si="5"/>
        <v>#REF!</v>
      </c>
      <c r="N69" s="43"/>
      <c r="O69" s="44"/>
      <c r="P69" s="44"/>
      <c r="Q69" s="44" t="str">
        <f>+Q$13</f>
        <v>RT{1}</v>
      </c>
      <c r="R69" s="44"/>
      <c r="S69" s="44"/>
      <c r="T69" s="44" t="str">
        <f>+T$13</f>
        <v>GST</v>
      </c>
      <c r="U69" s="45"/>
      <c r="V69" s="318">
        <v>42644</v>
      </c>
      <c r="W69" s="297">
        <v>788463</v>
      </c>
      <c r="X69" s="298">
        <v>16332</v>
      </c>
      <c r="Y69" s="55">
        <f t="shared" si="6"/>
        <v>772131</v>
      </c>
      <c r="Z69" s="298">
        <v>957065.60882229998</v>
      </c>
      <c r="AA69" s="312" t="e">
        <f>(#REF!+#REF!)/1000</f>
        <v>#REF!</v>
      </c>
      <c r="AB69" s="300">
        <v>617286.03236766695</v>
      </c>
      <c r="AC69" s="50">
        <f t="shared" si="9"/>
        <v>472880.43058016303</v>
      </c>
      <c r="AD69" s="300">
        <v>534241.14158016304</v>
      </c>
      <c r="AF69" s="300">
        <v>9568.1779999999999</v>
      </c>
      <c r="AG69" s="312" t="e">
        <f>(#REF!+#REF!-AL69)/1000</f>
        <v>#REF!</v>
      </c>
      <c r="AJ69" s="461">
        <v>201510</v>
      </c>
      <c r="AK69" s="462">
        <v>61360711</v>
      </c>
      <c r="AL69" s="462">
        <v>42245152</v>
      </c>
    </row>
    <row r="70" spans="1:38" x14ac:dyDescent="0.25">
      <c r="A70" s="22"/>
      <c r="B70" s="28" t="s">
        <v>11</v>
      </c>
      <c r="C70" s="49"/>
      <c r="D70" s="49"/>
      <c r="E70" s="50" t="e">
        <f>ROUND(AA70,0)+ROUND($W70/1000,0)</f>
        <v>#REF!</v>
      </c>
      <c r="F70" s="50">
        <f>ROUND(AB70,0)+ROUND($Z70/1000,0)</f>
        <v>577856</v>
      </c>
      <c r="G70" s="50">
        <f t="shared" si="3"/>
        <v>421680</v>
      </c>
      <c r="H70" s="50" t="e">
        <f t="shared" si="7"/>
        <v>#REF!</v>
      </c>
      <c r="I70" s="50">
        <f t="shared" si="8"/>
        <v>9563</v>
      </c>
      <c r="J70" s="50" t="e">
        <f t="shared" si="4"/>
        <v>#REF!</v>
      </c>
      <c r="K70" s="50"/>
      <c r="L70" s="49"/>
      <c r="M70" s="50" t="e">
        <f t="shared" si="5"/>
        <v>#REF!</v>
      </c>
      <c r="N70" s="46"/>
      <c r="O70" s="47"/>
      <c r="P70" s="47"/>
      <c r="Q70" s="47"/>
      <c r="R70" s="47"/>
      <c r="S70" s="47"/>
      <c r="T70" s="47"/>
      <c r="U70" s="48"/>
      <c r="V70" s="318">
        <v>42675</v>
      </c>
      <c r="W70" s="297">
        <v>782870</v>
      </c>
      <c r="X70" s="298">
        <v>16223</v>
      </c>
      <c r="Y70" s="55">
        <f t="shared" si="6"/>
        <v>766647</v>
      </c>
      <c r="Z70" s="298">
        <v>1106149.9079919001</v>
      </c>
      <c r="AA70" s="312" t="e">
        <f>(#REF!+#REF!)/1000</f>
        <v>#REF!</v>
      </c>
      <c r="AB70" s="300">
        <v>576750.06237072207</v>
      </c>
      <c r="AC70" s="50">
        <f t="shared" si="9"/>
        <v>421695.61623548594</v>
      </c>
      <c r="AD70" s="300">
        <v>476757.76223548595</v>
      </c>
      <c r="AE70" s="90"/>
      <c r="AF70" s="300">
        <v>9562.9809999999998</v>
      </c>
      <c r="AG70" s="312" t="e">
        <f>(#REF!+#REF!-AL70)/1000</f>
        <v>#REF!</v>
      </c>
      <c r="AH70" s="21"/>
      <c r="AJ70" s="461">
        <v>201511</v>
      </c>
      <c r="AK70" s="462">
        <v>55062146</v>
      </c>
      <c r="AL70" s="462">
        <v>39091757</v>
      </c>
    </row>
    <row r="71" spans="1:38" x14ac:dyDescent="0.25">
      <c r="A71" s="22"/>
      <c r="B71" s="28" t="s">
        <v>12</v>
      </c>
      <c r="C71" s="49"/>
      <c r="D71" s="49"/>
      <c r="E71" s="50" t="e">
        <f>ROUND(AA71,0)+ROUND($W71/1000,0)</f>
        <v>#REF!</v>
      </c>
      <c r="F71" s="50">
        <f>ROUND(AB71,0)+ROUND($Z71/1000,0)</f>
        <v>675805</v>
      </c>
      <c r="G71" s="50">
        <f t="shared" si="3"/>
        <v>454899</v>
      </c>
      <c r="H71" s="50" t="e">
        <f t="shared" si="7"/>
        <v>#REF!</v>
      </c>
      <c r="I71" s="50">
        <f t="shared" si="8"/>
        <v>9558</v>
      </c>
      <c r="J71" s="50" t="e">
        <f t="shared" si="4"/>
        <v>#REF!</v>
      </c>
      <c r="K71" s="50"/>
      <c r="L71" s="49"/>
      <c r="M71" s="201" t="e">
        <f t="shared" si="5"/>
        <v>#REF!</v>
      </c>
      <c r="N71" s="51"/>
      <c r="O71" s="52"/>
      <c r="P71" s="115" t="s">
        <v>148</v>
      </c>
      <c r="Q71" s="53" t="e">
        <f>SUM(E60:E64,E69:E71)</f>
        <v>#REF!</v>
      </c>
      <c r="R71" s="53"/>
      <c r="S71" s="115" t="s">
        <v>148</v>
      </c>
      <c r="T71" s="53" t="e">
        <f>SUM(H60:H64,H69:H71)</f>
        <v>#REF!</v>
      </c>
      <c r="U71" s="54"/>
      <c r="V71" s="318">
        <v>42705</v>
      </c>
      <c r="W71" s="321">
        <v>777495</v>
      </c>
      <c r="X71" s="319">
        <v>16116</v>
      </c>
      <c r="Y71" s="55">
        <f t="shared" si="6"/>
        <v>761379</v>
      </c>
      <c r="Z71" s="319">
        <v>1590096.9934661</v>
      </c>
      <c r="AA71" s="313" t="e">
        <f>(#REF!+#REF!)/1000</f>
        <v>#REF!</v>
      </c>
      <c r="AB71" s="317">
        <v>674214.82660823502</v>
      </c>
      <c r="AC71" s="201">
        <f t="shared" si="9"/>
        <v>454914.540633492</v>
      </c>
      <c r="AD71" s="317">
        <v>510037.148633492</v>
      </c>
      <c r="AE71" s="38"/>
      <c r="AF71" s="300">
        <v>9557.7839999999997</v>
      </c>
      <c r="AG71" s="313" t="e">
        <f>(#REF!+#REF!-AL71)/1000</f>
        <v>#REF!</v>
      </c>
      <c r="AH71" s="38"/>
      <c r="AJ71" s="461">
        <v>201512</v>
      </c>
      <c r="AK71" s="462">
        <v>55122608</v>
      </c>
      <c r="AL71" s="462">
        <v>38901220</v>
      </c>
    </row>
    <row r="72" spans="1:38" x14ac:dyDescent="0.25">
      <c r="A72" s="22"/>
      <c r="B72" s="60" t="s">
        <v>13</v>
      </c>
      <c r="C72" s="55"/>
      <c r="D72" s="55"/>
      <c r="E72" s="55" t="e">
        <f>SUM(E60:E71)</f>
        <v>#REF!</v>
      </c>
      <c r="F72" s="55">
        <f>SUM(F60:F71)</f>
        <v>8947942</v>
      </c>
      <c r="G72" s="55">
        <f>SUM(G60:G71)</f>
        <v>5915372</v>
      </c>
      <c r="H72" s="55" t="e">
        <f>SUM(H60:H71)</f>
        <v>#REF!</v>
      </c>
      <c r="I72" s="55">
        <f>SUM(I60:I71)</f>
        <v>115004</v>
      </c>
      <c r="J72" s="55" t="e">
        <f t="shared" si="4"/>
        <v>#REF!</v>
      </c>
      <c r="K72" s="55"/>
      <c r="L72" s="55"/>
      <c r="M72" s="55" t="e">
        <f>SUM(M60:M71)</f>
        <v>#REF!</v>
      </c>
      <c r="N72" s="51"/>
      <c r="O72" s="52"/>
      <c r="P72" s="114" t="s">
        <v>146</v>
      </c>
      <c r="Q72" s="53" t="e">
        <f>SUMPRODUCT(E15:E19,E60:E64)+SUMPRODUCT(E24:E26,E69:E71)</f>
        <v>#REF!</v>
      </c>
      <c r="R72" s="47" t="e">
        <f>Q72/Q71</f>
        <v>#REF!</v>
      </c>
      <c r="S72" s="114" t="s">
        <v>177</v>
      </c>
      <c r="T72" s="53" t="e">
        <f>SUMPRODUCT(H15:H19,H60:H64)+SUMPRODUCT(H24:H26,H69:H71)</f>
        <v>#REF!</v>
      </c>
      <c r="U72" s="48" t="e">
        <f>T72/T71</f>
        <v>#REF!</v>
      </c>
      <c r="W72" s="55">
        <f t="shared" ref="W72:AF72" si="10">SUM(W60:W71)</f>
        <v>9699106</v>
      </c>
      <c r="X72" s="55">
        <f t="shared" si="10"/>
        <v>200661</v>
      </c>
      <c r="Y72" s="55">
        <f t="shared" si="10"/>
        <v>9498445</v>
      </c>
      <c r="Z72" s="55">
        <f t="shared" si="10"/>
        <v>16390160.3890868</v>
      </c>
      <c r="AA72" s="55" t="e">
        <f t="shared" si="10"/>
        <v>#REF!</v>
      </c>
      <c r="AB72" s="55">
        <f t="shared" si="10"/>
        <v>8936330.0566073544</v>
      </c>
      <c r="AC72" s="55">
        <f t="shared" si="10"/>
        <v>5915572.5008337209</v>
      </c>
      <c r="AD72" s="55">
        <f t="shared" si="10"/>
        <v>6637340.8868337199</v>
      </c>
      <c r="AE72" s="325"/>
      <c r="AF72" s="55">
        <f t="shared" si="10"/>
        <v>115005.58499999999</v>
      </c>
      <c r="AG72" s="55" t="e">
        <f>SUM(AG60:AG71)</f>
        <v>#REF!</v>
      </c>
      <c r="AH72" s="324"/>
      <c r="AJ72" s="406" t="s">
        <v>319</v>
      </c>
      <c r="AK72" s="407">
        <f>SUM(AK60:AK71)/1000</f>
        <v>721768.38600000006</v>
      </c>
      <c r="AL72" s="407">
        <f>SUM(AL60:AL71)/1000</f>
        <v>512091.864</v>
      </c>
    </row>
    <row r="73" spans="1:38" x14ac:dyDescent="0.25">
      <c r="A73" s="22"/>
      <c r="B73" s="28"/>
      <c r="G73" s="50" t="s">
        <v>412</v>
      </c>
      <c r="K73" s="61"/>
      <c r="N73" s="51"/>
      <c r="O73" s="52"/>
      <c r="P73" s="114" t="s">
        <v>145</v>
      </c>
      <c r="Q73" s="53" t="e">
        <f>+Q71-Q72</f>
        <v>#REF!</v>
      </c>
      <c r="R73" s="47"/>
      <c r="S73" s="114" t="s">
        <v>178</v>
      </c>
      <c r="T73" s="53" t="e">
        <f>+T71-T72</f>
        <v>#REF!</v>
      </c>
      <c r="U73" s="48"/>
      <c r="AD73" s="303"/>
      <c r="AE73" s="304"/>
      <c r="AG73" s="303"/>
      <c r="AH73" s="304"/>
      <c r="AK73" s="55" t="s">
        <v>256</v>
      </c>
    </row>
    <row r="74" spans="1:38" ht="15.6" x14ac:dyDescent="0.3">
      <c r="A74" s="22"/>
      <c r="N74" s="46"/>
      <c r="O74" s="47"/>
      <c r="P74" s="47"/>
      <c r="Q74" s="47"/>
      <c r="R74" s="47"/>
      <c r="S74" s="47"/>
      <c r="T74" s="47"/>
      <c r="U74" s="48"/>
      <c r="V74" s="71" t="s">
        <v>181</v>
      </c>
      <c r="W74" s="13" t="s">
        <v>185</v>
      </c>
      <c r="X74" s="13" t="s">
        <v>184</v>
      </c>
      <c r="Y74" s="13" t="s">
        <v>182</v>
      </c>
      <c r="Z74" s="13" t="s">
        <v>183</v>
      </c>
      <c r="AB74" s="21" t="s">
        <v>317</v>
      </c>
      <c r="AC74" s="21" t="s">
        <v>318</v>
      </c>
      <c r="AE74" s="14"/>
    </row>
    <row r="75" spans="1:38" x14ac:dyDescent="0.25">
      <c r="A75" s="18" t="s">
        <v>37</v>
      </c>
      <c r="B75" s="16" t="s">
        <v>19</v>
      </c>
      <c r="G75" s="62" t="s">
        <v>32</v>
      </c>
      <c r="H75" s="16" t="s">
        <v>175</v>
      </c>
      <c r="N75" s="51"/>
      <c r="O75" s="52"/>
      <c r="P75" s="116" t="s">
        <v>149</v>
      </c>
      <c r="Q75" s="53" t="e">
        <f>+SUM(E65:E68)</f>
        <v>#REF!</v>
      </c>
      <c r="R75" s="44"/>
      <c r="S75" s="116" t="s">
        <v>149</v>
      </c>
      <c r="T75" s="53" t="e">
        <f>+SUM(H65:H68)</f>
        <v>#REF!</v>
      </c>
      <c r="U75" s="45"/>
      <c r="V75" s="55">
        <f t="shared" ref="V75:V86" si="11">W60-W75</f>
        <v>328544</v>
      </c>
      <c r="W75" s="55">
        <f t="shared" ref="W75:W86" si="12">SUM(X75:Z75)</f>
        <v>511147</v>
      </c>
      <c r="X75" s="299">
        <v>12853</v>
      </c>
      <c r="Y75" s="298">
        <v>492504</v>
      </c>
      <c r="Z75" s="298">
        <v>5790</v>
      </c>
      <c r="AA75" s="55"/>
      <c r="AB75" s="320">
        <f t="shared" ref="AB75:AB86" si="13">(V75*$AA$94+W75*$AA$95)/1000</f>
        <v>185.97352678571423</v>
      </c>
      <c r="AC75" s="320">
        <f t="shared" ref="AC75:AC86" si="14">(W60/1000)-AB75</f>
        <v>653.71747321428575</v>
      </c>
      <c r="AG75" s="55"/>
    </row>
    <row r="76" spans="1:38" s="63" customFormat="1" x14ac:dyDescent="0.25">
      <c r="A76" s="22"/>
      <c r="B76" s="17" t="s">
        <v>21</v>
      </c>
      <c r="G76" s="21"/>
      <c r="H76" s="128" t="s">
        <v>174</v>
      </c>
      <c r="N76" s="51"/>
      <c r="O76" s="52"/>
      <c r="P76" s="114" t="s">
        <v>146</v>
      </c>
      <c r="Q76" s="53" t="e">
        <f>+SUMPRODUCT(E20:E23,E65:E68)</f>
        <v>#REF!</v>
      </c>
      <c r="R76" s="47" t="e">
        <f>Q76/Q75</f>
        <v>#REF!</v>
      </c>
      <c r="S76" s="132" t="s">
        <v>177</v>
      </c>
      <c r="T76" s="53" t="e">
        <f>+SUMPRODUCT(H20:H23,H65:H68)</f>
        <v>#REF!</v>
      </c>
      <c r="U76" s="48" t="e">
        <f>T76/T75</f>
        <v>#REF!</v>
      </c>
      <c r="V76" s="55">
        <f t="shared" si="11"/>
        <v>326462</v>
      </c>
      <c r="W76" s="55">
        <f t="shared" si="12"/>
        <v>507269</v>
      </c>
      <c r="X76" s="299">
        <v>12767</v>
      </c>
      <c r="Y76" s="298">
        <v>488751</v>
      </c>
      <c r="Z76" s="298">
        <v>5751</v>
      </c>
      <c r="AA76" s="55"/>
      <c r="AB76" s="320">
        <f t="shared" si="13"/>
        <v>184.61145489926739</v>
      </c>
      <c r="AC76" s="320">
        <f t="shared" si="14"/>
        <v>649.11954510073258</v>
      </c>
      <c r="AD76" s="13"/>
      <c r="AF76" s="63" t="e">
        <f>AA60/1000</f>
        <v>#REF!</v>
      </c>
      <c r="AG76" s="63">
        <f>AB60/1000</f>
        <v>818.95424774287608</v>
      </c>
    </row>
    <row r="77" spans="1:38" x14ac:dyDescent="0.25">
      <c r="A77" s="22"/>
      <c r="C77" s="63"/>
      <c r="D77" s="26" t="s">
        <v>169</v>
      </c>
      <c r="E77" s="63"/>
      <c r="G77" s="26"/>
      <c r="N77" s="64"/>
      <c r="O77" s="65"/>
      <c r="P77" s="117" t="s">
        <v>145</v>
      </c>
      <c r="Q77" s="66" t="e">
        <f>Q75-Q76</f>
        <v>#REF!</v>
      </c>
      <c r="R77" s="58"/>
      <c r="S77" s="133" t="s">
        <v>178</v>
      </c>
      <c r="T77" s="66" t="e">
        <f>T75-T76</f>
        <v>#REF!</v>
      </c>
      <c r="U77" s="59"/>
      <c r="V77" s="55">
        <f t="shared" si="11"/>
        <v>324528</v>
      </c>
      <c r="W77" s="55">
        <f t="shared" si="12"/>
        <v>503666</v>
      </c>
      <c r="X77" s="299">
        <v>12686</v>
      </c>
      <c r="Y77" s="298">
        <v>485266</v>
      </c>
      <c r="Z77" s="298">
        <v>5714</v>
      </c>
      <c r="AA77" s="55"/>
      <c r="AB77" s="320">
        <f t="shared" si="13"/>
        <v>183.34601419413917</v>
      </c>
      <c r="AC77" s="320">
        <f t="shared" si="14"/>
        <v>644.84798580586084</v>
      </c>
      <c r="AD77" s="55">
        <f>SUM(AB65:AB68)</f>
        <v>3663342.0567630022</v>
      </c>
      <c r="AF77" s="63" t="e">
        <f t="shared" ref="AF77:AG87" si="15">AA61/1000</f>
        <v>#REF!</v>
      </c>
      <c r="AG77" s="63">
        <f t="shared" si="15"/>
        <v>758.28374480347395</v>
      </c>
    </row>
    <row r="78" spans="1:38" x14ac:dyDescent="0.25">
      <c r="A78" s="22"/>
      <c r="C78" s="26" t="s">
        <v>14</v>
      </c>
      <c r="D78" s="26" t="s">
        <v>170</v>
      </c>
      <c r="E78" s="26" t="s">
        <v>15</v>
      </c>
      <c r="H78" s="26" t="s">
        <v>14</v>
      </c>
      <c r="I78" s="26" t="s">
        <v>15</v>
      </c>
      <c r="N78" s="46"/>
      <c r="O78" s="47"/>
      <c r="P78" s="47"/>
      <c r="Q78" s="47" t="s">
        <v>58</v>
      </c>
      <c r="R78" s="47"/>
      <c r="S78" s="47"/>
      <c r="T78" s="47"/>
      <c r="U78" s="48"/>
      <c r="V78" s="55">
        <f t="shared" si="11"/>
        <v>322472</v>
      </c>
      <c r="W78" s="55">
        <f t="shared" si="12"/>
        <v>499844</v>
      </c>
      <c r="X78" s="299">
        <v>12600</v>
      </c>
      <c r="Y78" s="298">
        <v>481569</v>
      </c>
      <c r="Z78" s="298">
        <v>5675</v>
      </c>
      <c r="AA78" s="55"/>
      <c r="AB78" s="320">
        <f t="shared" si="13"/>
        <v>182.00312728937726</v>
      </c>
      <c r="AC78" s="320">
        <f t="shared" si="14"/>
        <v>640.31287271062274</v>
      </c>
      <c r="AF78" s="63" t="e">
        <f t="shared" si="15"/>
        <v>#REF!</v>
      </c>
      <c r="AG78" s="63">
        <f t="shared" si="15"/>
        <v>688.47634498455204</v>
      </c>
    </row>
    <row r="79" spans="1:38" x14ac:dyDescent="0.25">
      <c r="A79" s="22"/>
      <c r="B79" s="28" t="s">
        <v>1</v>
      </c>
      <c r="C79" s="69">
        <v>54.06</v>
      </c>
      <c r="D79" s="326">
        <v>0.7152234415770371</v>
      </c>
      <c r="E79" s="183">
        <f t="shared" ref="E79:E90" si="16">ROUND(C79*D79,3)</f>
        <v>38.664999999999999</v>
      </c>
      <c r="H79" s="33">
        <v>1.049065693611313</v>
      </c>
      <c r="I79" s="33">
        <v>1.0405806419675818</v>
      </c>
      <c r="N79" s="43"/>
      <c r="O79" s="44"/>
      <c r="P79" s="26"/>
      <c r="Q79" s="26" t="str">
        <f>+Q$13</f>
        <v>RT{1}</v>
      </c>
      <c r="R79" s="26"/>
      <c r="S79" s="26"/>
      <c r="T79" s="26" t="str">
        <f>+T$13</f>
        <v>GST</v>
      </c>
      <c r="U79" s="45"/>
      <c r="V79" s="55">
        <f t="shared" si="11"/>
        <v>320495</v>
      </c>
      <c r="W79" s="55">
        <f t="shared" si="12"/>
        <v>496172</v>
      </c>
      <c r="X79" s="299">
        <v>12518</v>
      </c>
      <c r="Y79" s="298">
        <v>478017</v>
      </c>
      <c r="Z79" s="298">
        <v>5637</v>
      </c>
      <c r="AA79" s="55"/>
      <c r="AB79" s="320">
        <f t="shared" si="13"/>
        <v>180.71274267399264</v>
      </c>
      <c r="AC79" s="320">
        <f t="shared" si="14"/>
        <v>635.95425732600734</v>
      </c>
      <c r="AF79" s="63" t="e">
        <f t="shared" si="15"/>
        <v>#REF!</v>
      </c>
      <c r="AG79" s="63">
        <f t="shared" si="15"/>
        <v>607.37923209884207</v>
      </c>
    </row>
    <row r="80" spans="1:38" x14ac:dyDescent="0.25">
      <c r="A80" s="22"/>
      <c r="B80" s="28" t="s">
        <v>2</v>
      </c>
      <c r="C80" s="69">
        <v>50.44</v>
      </c>
      <c r="D80" s="111">
        <f>+$D$79</f>
        <v>0.7152234415770371</v>
      </c>
      <c r="E80" s="183">
        <f t="shared" si="16"/>
        <v>36.076000000000001</v>
      </c>
      <c r="H80" s="178">
        <f>H79</f>
        <v>1.049065693611313</v>
      </c>
      <c r="I80" s="178">
        <f>I79</f>
        <v>1.0405806419675818</v>
      </c>
      <c r="N80" s="46"/>
      <c r="O80" s="47"/>
      <c r="P80" s="47"/>
      <c r="Q80" s="47"/>
      <c r="R80" s="47"/>
      <c r="S80" s="47"/>
      <c r="T80" s="47"/>
      <c r="U80" s="48"/>
      <c r="V80" s="55">
        <f t="shared" si="11"/>
        <v>318466</v>
      </c>
      <c r="W80" s="55">
        <f t="shared" si="12"/>
        <v>492406</v>
      </c>
      <c r="X80" s="299">
        <v>12433</v>
      </c>
      <c r="Y80" s="298">
        <v>474375</v>
      </c>
      <c r="Z80" s="298">
        <v>5598</v>
      </c>
      <c r="AA80" s="55"/>
      <c r="AB80" s="320">
        <f t="shared" si="13"/>
        <v>179.38915979853476</v>
      </c>
      <c r="AC80" s="320">
        <f t="shared" si="14"/>
        <v>631.48284020146525</v>
      </c>
      <c r="AF80" s="63" t="e">
        <f t="shared" si="15"/>
        <v>#REF!</v>
      </c>
      <c r="AG80" s="63">
        <f t="shared" si="15"/>
        <v>531.64350886798502</v>
      </c>
    </row>
    <row r="81" spans="1:33" x14ac:dyDescent="0.25">
      <c r="A81" s="22"/>
      <c r="B81" s="28" t="s">
        <v>3</v>
      </c>
      <c r="C81" s="69">
        <v>39.700000000000003</v>
      </c>
      <c r="D81" s="111">
        <f>+$D$79</f>
        <v>0.7152234415770371</v>
      </c>
      <c r="E81" s="183">
        <f t="shared" si="16"/>
        <v>28.393999999999998</v>
      </c>
      <c r="H81" s="178">
        <f>H79</f>
        <v>1.049065693611313</v>
      </c>
      <c r="I81" s="178">
        <f>I79</f>
        <v>1.0405806419675818</v>
      </c>
      <c r="N81" s="51"/>
      <c r="O81" s="52"/>
      <c r="P81" s="115" t="s">
        <v>26</v>
      </c>
      <c r="Q81" s="53"/>
      <c r="R81" s="53"/>
      <c r="S81" s="115" t="s">
        <v>26</v>
      </c>
      <c r="T81" s="53"/>
      <c r="U81" s="54"/>
      <c r="V81" s="55">
        <f t="shared" si="11"/>
        <v>316514</v>
      </c>
      <c r="W81" s="55">
        <f t="shared" si="12"/>
        <v>488789</v>
      </c>
      <c r="X81" s="299">
        <v>12352</v>
      </c>
      <c r="Y81" s="298">
        <v>470876</v>
      </c>
      <c r="Z81" s="298">
        <v>5561</v>
      </c>
      <c r="AA81" s="55"/>
      <c r="AB81" s="320">
        <f t="shared" si="13"/>
        <v>178.11755380036627</v>
      </c>
      <c r="AC81" s="320">
        <f t="shared" si="14"/>
        <v>627.1854461996337</v>
      </c>
      <c r="AF81" s="63" t="e">
        <f t="shared" si="15"/>
        <v>#REF!</v>
      </c>
      <c r="AG81" s="63">
        <f t="shared" si="15"/>
        <v>710.76180572972009</v>
      </c>
    </row>
    <row r="82" spans="1:33" x14ac:dyDescent="0.25">
      <c r="A82" s="22"/>
      <c r="B82" s="28" t="s">
        <v>4</v>
      </c>
      <c r="C82" s="69">
        <v>34.200000000000003</v>
      </c>
      <c r="D82" s="111">
        <f>+$D$79</f>
        <v>0.7152234415770371</v>
      </c>
      <c r="E82" s="183">
        <f t="shared" si="16"/>
        <v>24.460999999999999</v>
      </c>
      <c r="H82" s="178">
        <f>H79</f>
        <v>1.049065693611313</v>
      </c>
      <c r="I82" s="178">
        <f>I79</f>
        <v>1.0405806419675818</v>
      </c>
      <c r="N82" s="51"/>
      <c r="O82" s="52"/>
      <c r="P82" s="114" t="s">
        <v>147</v>
      </c>
      <c r="Q82" s="53" t="e">
        <f>Q72-Q61</f>
        <v>#REF!</v>
      </c>
      <c r="R82" s="47"/>
      <c r="S82" s="114" t="s">
        <v>147</v>
      </c>
      <c r="T82" s="53" t="e">
        <f>T72-T61</f>
        <v>#REF!</v>
      </c>
      <c r="U82" s="48"/>
      <c r="V82" s="55">
        <f t="shared" si="11"/>
        <v>314509</v>
      </c>
      <c r="W82" s="55">
        <f t="shared" si="12"/>
        <v>485080</v>
      </c>
      <c r="X82" s="299">
        <v>12269</v>
      </c>
      <c r="Y82" s="298">
        <v>467288</v>
      </c>
      <c r="Z82" s="298">
        <v>5523</v>
      </c>
      <c r="AA82" s="55"/>
      <c r="AB82" s="320">
        <f t="shared" si="13"/>
        <v>176.81320512820506</v>
      </c>
      <c r="AC82" s="320">
        <f t="shared" si="14"/>
        <v>622.77579487179503</v>
      </c>
      <c r="AF82" s="63" t="e">
        <f t="shared" si="15"/>
        <v>#REF!</v>
      </c>
      <c r="AG82" s="63">
        <f t="shared" si="15"/>
        <v>979.32956212510294</v>
      </c>
    </row>
    <row r="83" spans="1:33" x14ac:dyDescent="0.25">
      <c r="A83" s="22"/>
      <c r="B83" s="28" t="s">
        <v>5</v>
      </c>
      <c r="C83" s="69">
        <v>35.04</v>
      </c>
      <c r="D83" s="111">
        <f>+$D$79</f>
        <v>0.7152234415770371</v>
      </c>
      <c r="E83" s="183">
        <f t="shared" si="16"/>
        <v>25.061</v>
      </c>
      <c r="H83" s="178">
        <f>H79</f>
        <v>1.049065693611313</v>
      </c>
      <c r="I83" s="178">
        <f>I79</f>
        <v>1.0405806419675818</v>
      </c>
      <c r="N83" s="51"/>
      <c r="O83" s="52"/>
      <c r="P83" s="114" t="s">
        <v>150</v>
      </c>
      <c r="Q83" s="141" t="e">
        <f>Q82*(E117-E118)</f>
        <v>#REF!</v>
      </c>
      <c r="R83" s="47"/>
      <c r="S83" s="114" t="s">
        <v>150</v>
      </c>
      <c r="T83" s="141" t="e">
        <f>T82*(H117-H118)</f>
        <v>#REF!</v>
      </c>
      <c r="U83" s="48"/>
      <c r="V83" s="55">
        <f t="shared" si="11"/>
        <v>312516</v>
      </c>
      <c r="W83" s="55">
        <f t="shared" si="12"/>
        <v>481399</v>
      </c>
      <c r="X83" s="299">
        <v>12186</v>
      </c>
      <c r="Y83" s="298">
        <v>463728</v>
      </c>
      <c r="Z83" s="298">
        <v>5485</v>
      </c>
      <c r="AA83" s="55"/>
      <c r="AB83" s="320">
        <f t="shared" si="13"/>
        <v>175.51832989926734</v>
      </c>
      <c r="AC83" s="320">
        <f t="shared" si="14"/>
        <v>618.39667010073265</v>
      </c>
      <c r="AF83" s="63" t="e">
        <f t="shared" si="15"/>
        <v>#REF!</v>
      </c>
      <c r="AG83" s="63">
        <f t="shared" si="15"/>
        <v>1066.82093710244</v>
      </c>
    </row>
    <row r="84" spans="1:33" x14ac:dyDescent="0.25">
      <c r="A84" s="22"/>
      <c r="B84" s="28" t="s">
        <v>6</v>
      </c>
      <c r="C84" s="408">
        <v>37.549999999999997</v>
      </c>
      <c r="D84" s="327">
        <v>0.62947551964708903</v>
      </c>
      <c r="E84" s="184">
        <f t="shared" si="16"/>
        <v>23.637</v>
      </c>
      <c r="H84" s="129">
        <v>0.99632578864058319</v>
      </c>
      <c r="I84" s="130">
        <v>0.96436226437536321</v>
      </c>
      <c r="N84" s="46"/>
      <c r="O84" s="47"/>
      <c r="P84" s="47"/>
      <c r="Q84" s="68"/>
      <c r="R84" s="47"/>
      <c r="S84" s="47"/>
      <c r="T84" s="68"/>
      <c r="U84" s="48"/>
      <c r="V84" s="55">
        <f t="shared" si="11"/>
        <v>310600</v>
      </c>
      <c r="W84" s="55">
        <f t="shared" si="12"/>
        <v>477863</v>
      </c>
      <c r="X84" s="299">
        <v>12106</v>
      </c>
      <c r="Y84" s="298">
        <v>460308</v>
      </c>
      <c r="Z84" s="298">
        <v>5449</v>
      </c>
      <c r="AA84" s="55"/>
      <c r="AB84" s="320">
        <f t="shared" si="13"/>
        <v>174.27428228021975</v>
      </c>
      <c r="AC84" s="320">
        <f t="shared" si="14"/>
        <v>614.18871771978024</v>
      </c>
      <c r="AF84" s="63" t="e">
        <f t="shared" si="15"/>
        <v>#REF!</v>
      </c>
      <c r="AG84" s="63">
        <f t="shared" si="15"/>
        <v>906.42975180573899</v>
      </c>
    </row>
    <row r="85" spans="1:33" x14ac:dyDescent="0.25">
      <c r="A85" s="22"/>
      <c r="B85" s="28" t="s">
        <v>7</v>
      </c>
      <c r="C85" s="409">
        <v>47.81</v>
      </c>
      <c r="D85" s="226">
        <f>+$D$84</f>
        <v>0.62947551964708903</v>
      </c>
      <c r="E85" s="185">
        <f t="shared" si="16"/>
        <v>30.094999999999999</v>
      </c>
      <c r="H85" s="176">
        <f t="shared" ref="H85:I87" si="17">H84</f>
        <v>0.99632578864058319</v>
      </c>
      <c r="I85" s="179">
        <f t="shared" si="17"/>
        <v>0.96436226437536321</v>
      </c>
      <c r="N85" s="51"/>
      <c r="O85" s="52"/>
      <c r="P85" s="116" t="s">
        <v>25</v>
      </c>
      <c r="Q85" s="68"/>
      <c r="R85" s="44"/>
      <c r="S85" s="116" t="s">
        <v>25</v>
      </c>
      <c r="T85" s="68"/>
      <c r="U85" s="45"/>
      <c r="V85" s="55">
        <f t="shared" si="11"/>
        <v>308633</v>
      </c>
      <c r="W85" s="55">
        <f t="shared" si="12"/>
        <v>474237</v>
      </c>
      <c r="X85" s="299">
        <v>12025</v>
      </c>
      <c r="Y85" s="298">
        <v>456800</v>
      </c>
      <c r="Z85" s="298">
        <v>5412</v>
      </c>
      <c r="AA85" s="55"/>
      <c r="AB85" s="320">
        <f t="shared" si="13"/>
        <v>172.99830471611719</v>
      </c>
      <c r="AC85" s="320">
        <f t="shared" si="14"/>
        <v>609.87169528388279</v>
      </c>
      <c r="AF85" s="63" t="e">
        <f t="shared" si="15"/>
        <v>#REF!</v>
      </c>
      <c r="AG85" s="63">
        <f t="shared" si="15"/>
        <v>617.28603236766696</v>
      </c>
    </row>
    <row r="86" spans="1:33" x14ac:dyDescent="0.25">
      <c r="A86" s="22"/>
      <c r="B86" s="28" t="s">
        <v>8</v>
      </c>
      <c r="C86" s="409">
        <v>44.16</v>
      </c>
      <c r="D86" s="226">
        <f>+$D$84</f>
        <v>0.62947551964708903</v>
      </c>
      <c r="E86" s="185">
        <f t="shared" si="16"/>
        <v>27.797999999999998</v>
      </c>
      <c r="H86" s="176">
        <f t="shared" si="17"/>
        <v>0.99632578864058319</v>
      </c>
      <c r="I86" s="179">
        <f t="shared" si="17"/>
        <v>0.96436226437536321</v>
      </c>
      <c r="N86" s="51"/>
      <c r="O86" s="52"/>
      <c r="P86" s="114" t="s">
        <v>147</v>
      </c>
      <c r="Q86" s="53" t="e">
        <f>Q76-Q65</f>
        <v>#REF!</v>
      </c>
      <c r="R86" s="47"/>
      <c r="S86" s="114" t="s">
        <v>147</v>
      </c>
      <c r="T86" s="53" t="e">
        <f>T76-T65</f>
        <v>#REF!</v>
      </c>
      <c r="U86" s="48"/>
      <c r="V86" s="55">
        <f t="shared" si="11"/>
        <v>306741</v>
      </c>
      <c r="W86" s="55">
        <f t="shared" si="12"/>
        <v>470754</v>
      </c>
      <c r="X86" s="323">
        <v>11946</v>
      </c>
      <c r="Y86" s="319">
        <v>453432</v>
      </c>
      <c r="Z86" s="319">
        <v>5376</v>
      </c>
      <c r="AA86" s="55"/>
      <c r="AB86" s="320">
        <f t="shared" si="13"/>
        <v>171.772342032967</v>
      </c>
      <c r="AC86" s="320">
        <f t="shared" si="14"/>
        <v>605.722657967033</v>
      </c>
      <c r="AF86" s="63" t="e">
        <f>AA70/1000</f>
        <v>#REF!</v>
      </c>
      <c r="AG86" s="63">
        <f>AB70/1000</f>
        <v>576.75006237072205</v>
      </c>
    </row>
    <row r="87" spans="1:33" x14ac:dyDescent="0.25">
      <c r="A87" s="22"/>
      <c r="B87" s="28" t="s">
        <v>9</v>
      </c>
      <c r="C87" s="410">
        <v>34.96</v>
      </c>
      <c r="D87" s="227">
        <f>+$D$84</f>
        <v>0.62947551964708903</v>
      </c>
      <c r="E87" s="186">
        <f t="shared" si="16"/>
        <v>22.006</v>
      </c>
      <c r="H87" s="177">
        <f t="shared" si="17"/>
        <v>0.99632578864058319</v>
      </c>
      <c r="I87" s="180">
        <f t="shared" si="17"/>
        <v>0.96436226437536321</v>
      </c>
      <c r="N87" s="64"/>
      <c r="O87" s="65"/>
      <c r="P87" s="117" t="s">
        <v>150</v>
      </c>
      <c r="Q87" s="142" t="e">
        <f>Q86*(E113-E114)</f>
        <v>#REF!</v>
      </c>
      <c r="R87" s="58"/>
      <c r="S87" s="117" t="s">
        <v>150</v>
      </c>
      <c r="T87" s="142" t="e">
        <f>T86*(H113-H114)</f>
        <v>#REF!</v>
      </c>
      <c r="U87" s="59"/>
      <c r="V87" s="55">
        <f>SUM(V75:V86)</f>
        <v>3810480</v>
      </c>
      <c r="W87" s="55">
        <f>SUM(W75:W86)</f>
        <v>5888626</v>
      </c>
      <c r="X87" s="55">
        <f>SUM(X75:X86)</f>
        <v>148741</v>
      </c>
      <c r="Y87" s="55">
        <f>SUM(Y75:Y86)</f>
        <v>5672914</v>
      </c>
      <c r="Z87" s="55">
        <f>SUM(Z75:Z86)</f>
        <v>66971</v>
      </c>
      <c r="AA87" s="55"/>
      <c r="AB87" s="55">
        <f>SUM(AB75:AB86)</f>
        <v>2145.5300434981682</v>
      </c>
      <c r="AC87" s="55">
        <f>SUM(AC75:AC86)</f>
        <v>7553.5759565018334</v>
      </c>
      <c r="AF87" s="63" t="e">
        <f t="shared" si="15"/>
        <v>#REF!</v>
      </c>
      <c r="AG87" s="63">
        <f t="shared" si="15"/>
        <v>674.21482660823506</v>
      </c>
    </row>
    <row r="88" spans="1:33" x14ac:dyDescent="0.25">
      <c r="A88" s="22"/>
      <c r="B88" s="28" t="s">
        <v>10</v>
      </c>
      <c r="C88" s="69">
        <v>33.159999999999997</v>
      </c>
      <c r="D88" s="111">
        <f>+$D$79</f>
        <v>0.7152234415770371</v>
      </c>
      <c r="E88" s="183">
        <f t="shared" si="16"/>
        <v>23.716999999999999</v>
      </c>
      <c r="H88" s="178">
        <f>H79</f>
        <v>1.049065693611313</v>
      </c>
      <c r="I88" s="178">
        <f>I79</f>
        <v>1.0405806419675818</v>
      </c>
    </row>
    <row r="89" spans="1:33" x14ac:dyDescent="0.25">
      <c r="A89" s="22"/>
      <c r="B89" s="28" t="s">
        <v>11</v>
      </c>
      <c r="C89" s="69">
        <v>33.61</v>
      </c>
      <c r="D89" s="111">
        <f>+$D$79</f>
        <v>0.7152234415770371</v>
      </c>
      <c r="E89" s="183">
        <f t="shared" si="16"/>
        <v>24.039000000000001</v>
      </c>
      <c r="H89" s="178">
        <f>H79</f>
        <v>1.049065693611313</v>
      </c>
      <c r="I89" s="178">
        <f>I79</f>
        <v>1.0405806419675818</v>
      </c>
    </row>
    <row r="90" spans="1:33" x14ac:dyDescent="0.25">
      <c r="A90" s="22"/>
      <c r="B90" s="28" t="s">
        <v>12</v>
      </c>
      <c r="C90" s="69">
        <v>37.36</v>
      </c>
      <c r="D90" s="111">
        <f>+$D$79</f>
        <v>0.7152234415770371</v>
      </c>
      <c r="E90" s="183">
        <f t="shared" si="16"/>
        <v>26.721</v>
      </c>
      <c r="G90" s="70"/>
      <c r="H90" s="178">
        <f>H79</f>
        <v>1.049065693611313</v>
      </c>
      <c r="I90" s="178">
        <f>I79</f>
        <v>1.0405806419675818</v>
      </c>
    </row>
    <row r="91" spans="1:33" x14ac:dyDescent="0.25">
      <c r="A91" s="22"/>
      <c r="B91" s="28"/>
      <c r="C91" s="69"/>
      <c r="D91" s="69"/>
      <c r="G91" s="70"/>
      <c r="L91" s="70"/>
      <c r="X91" s="13" t="s">
        <v>210</v>
      </c>
    </row>
    <row r="92" spans="1:33" x14ac:dyDescent="0.25">
      <c r="A92" s="18" t="s">
        <v>33</v>
      </c>
      <c r="B92" s="37" t="s">
        <v>22</v>
      </c>
      <c r="C92" s="26"/>
      <c r="D92" s="26"/>
      <c r="E92" s="26" t="str">
        <f>+E$13</f>
        <v>RT{1}</v>
      </c>
      <c r="F92" s="26" t="str">
        <f>+F$13</f>
        <v>RS{2}</v>
      </c>
      <c r="G92" s="26" t="str">
        <f>+G$13</f>
        <v>GS{3}</v>
      </c>
      <c r="H92" s="26" t="str">
        <f>+H$58</f>
        <v>GST {4}</v>
      </c>
      <c r="I92" s="26" t="str">
        <f>+I$13</f>
        <v>OL/SL</v>
      </c>
      <c r="J92" s="26"/>
      <c r="K92" s="26"/>
      <c r="L92" s="26"/>
      <c r="M92" s="26"/>
      <c r="P92" s="275">
        <v>2016</v>
      </c>
      <c r="Q92" s="13" t="s">
        <v>215</v>
      </c>
      <c r="R92" s="13" t="s">
        <v>216</v>
      </c>
      <c r="S92" s="13" t="s">
        <v>217</v>
      </c>
      <c r="X92" s="13" t="s">
        <v>205</v>
      </c>
      <c r="Y92" s="71" t="s">
        <v>13</v>
      </c>
      <c r="Z92" s="71" t="s">
        <v>13</v>
      </c>
      <c r="AA92" s="71" t="s">
        <v>207</v>
      </c>
    </row>
    <row r="93" spans="1:33" x14ac:dyDescent="0.25">
      <c r="A93" s="22"/>
      <c r="C93" s="71"/>
      <c r="D93" s="71"/>
      <c r="E93" s="71"/>
      <c r="F93" s="71"/>
      <c r="P93" s="13" t="s">
        <v>0</v>
      </c>
      <c r="Q93" s="204">
        <v>1781637456.8609161</v>
      </c>
      <c r="R93" s="204">
        <v>1644113677</v>
      </c>
      <c r="S93" s="50">
        <f>SUM(Q93:R93)</f>
        <v>3425751133.8609161</v>
      </c>
      <c r="X93" s="134" t="s">
        <v>206</v>
      </c>
      <c r="Y93" s="38" t="s">
        <v>207</v>
      </c>
      <c r="Z93" s="38" t="s">
        <v>208</v>
      </c>
      <c r="AA93" s="38" t="s">
        <v>209</v>
      </c>
    </row>
    <row r="94" spans="1:33" x14ac:dyDescent="0.25">
      <c r="A94" s="22"/>
      <c r="B94" s="28" t="s">
        <v>299</v>
      </c>
      <c r="C94" s="72"/>
      <c r="D94" s="72"/>
      <c r="E94" s="155">
        <v>0.105545</v>
      </c>
      <c r="F94" s="155">
        <v>0.105545</v>
      </c>
      <c r="G94" s="155">
        <v>0.105545</v>
      </c>
      <c r="H94" s="155">
        <v>0.105545</v>
      </c>
      <c r="I94" s="155">
        <v>0.105545</v>
      </c>
      <c r="J94" s="72"/>
      <c r="K94" s="72"/>
      <c r="L94" s="72"/>
      <c r="M94" s="72"/>
      <c r="P94" s="13" t="s">
        <v>254</v>
      </c>
      <c r="Q94" s="204">
        <v>146676319.90208471</v>
      </c>
      <c r="R94" s="204">
        <v>90914603</v>
      </c>
      <c r="S94" s="50">
        <f>SUM(Q94:R94)</f>
        <v>237590922.90208471</v>
      </c>
      <c r="W94" s="13" t="s">
        <v>181</v>
      </c>
      <c r="X94" s="13">
        <v>4</v>
      </c>
      <c r="Y94" s="13">
        <f>X94*365*5/7</f>
        <v>1042.8571428571429</v>
      </c>
      <c r="Z94" s="13">
        <f>365*24</f>
        <v>8760</v>
      </c>
      <c r="AA94" s="13">
        <f>Y94/Z94</f>
        <v>0.11904761904761905</v>
      </c>
    </row>
    <row r="95" spans="1:33" x14ac:dyDescent="0.25">
      <c r="A95" s="22"/>
      <c r="B95" s="13" t="s">
        <v>300</v>
      </c>
      <c r="C95" s="73"/>
      <c r="D95" s="73"/>
      <c r="E95" s="73">
        <f>1/(1-E94)</f>
        <v>1.1179992285805322</v>
      </c>
      <c r="F95" s="73">
        <f>1/(1-F94)</f>
        <v>1.1179992285805322</v>
      </c>
      <c r="G95" s="73">
        <f>1/(1-G94)</f>
        <v>1.1179992285805322</v>
      </c>
      <c r="H95" s="73">
        <f>1/(1-H94)</f>
        <v>1.1179992285805322</v>
      </c>
      <c r="I95" s="73">
        <f>1/(1-I94)</f>
        <v>1.1179992285805322</v>
      </c>
      <c r="J95" s="73"/>
      <c r="K95" s="73"/>
      <c r="L95" s="73"/>
      <c r="M95" s="73"/>
      <c r="P95" s="13" t="s">
        <v>255</v>
      </c>
      <c r="Q95" s="50">
        <f>SUM(Q93:Q94)</f>
        <v>1928313776.763001</v>
      </c>
      <c r="R95" s="50">
        <f>SUM(R93:R94)</f>
        <v>1735028280</v>
      </c>
      <c r="S95" s="50">
        <f>SUM(S93:S94)</f>
        <v>3663342056.763001</v>
      </c>
      <c r="T95" s="55">
        <f>SUM(F65:F68)</f>
        <v>3663343</v>
      </c>
      <c r="W95" s="13" t="s">
        <v>204</v>
      </c>
      <c r="X95" s="13">
        <f>(9*18+10*34)/52</f>
        <v>9.6538461538461533</v>
      </c>
      <c r="Y95" s="13">
        <f>X95*365*5/7</f>
        <v>2516.8956043956036</v>
      </c>
      <c r="Z95" s="13">
        <f>365*24</f>
        <v>8760</v>
      </c>
      <c r="AA95" s="13">
        <f>Y95/Z95</f>
        <v>0.28731684981684974</v>
      </c>
    </row>
    <row r="96" spans="1:33" x14ac:dyDescent="0.25">
      <c r="A96" s="22"/>
      <c r="C96" s="73"/>
      <c r="D96" s="73"/>
      <c r="E96" s="73"/>
      <c r="F96" s="73"/>
      <c r="G96" s="73"/>
      <c r="H96" s="73"/>
      <c r="I96" s="73"/>
      <c r="J96" s="73" t="s">
        <v>256</v>
      </c>
      <c r="K96" s="73"/>
      <c r="L96" s="73"/>
      <c r="M96" s="73" t="s">
        <v>256</v>
      </c>
      <c r="Q96" s="50"/>
      <c r="R96" s="50"/>
      <c r="S96" s="50"/>
      <c r="T96" s="55"/>
    </row>
    <row r="97" spans="1:20" x14ac:dyDescent="0.25">
      <c r="A97" s="22"/>
      <c r="B97" s="242" t="s">
        <v>301</v>
      </c>
      <c r="C97" s="247"/>
      <c r="D97" s="247"/>
      <c r="E97" s="251">
        <f>ROUND(1-1/E98,6)</f>
        <v>9.8871000000000001E-2</v>
      </c>
      <c r="F97" s="251">
        <f>ROUND(1-1/F98,6)</f>
        <v>9.8871000000000001E-2</v>
      </c>
      <c r="G97" s="251">
        <f>ROUND(1-1/G98,6)</f>
        <v>9.8871000000000001E-2</v>
      </c>
      <c r="H97" s="251">
        <f>ROUND(1-1/H98,6)</f>
        <v>9.8871000000000001E-2</v>
      </c>
      <c r="I97" s="251">
        <f>ROUND(1-1/I98,6)</f>
        <v>9.8871000000000001E-2</v>
      </c>
      <c r="Q97" s="50"/>
      <c r="R97" s="50"/>
      <c r="S97" s="50"/>
      <c r="T97" s="55"/>
    </row>
    <row r="98" spans="1:20" x14ac:dyDescent="0.25">
      <c r="A98" s="22"/>
      <c r="B98" s="242" t="s">
        <v>302</v>
      </c>
      <c r="C98" s="247"/>
      <c r="D98" s="247"/>
      <c r="E98" s="247">
        <f>E95*(1-$S143)</f>
        <v>1.109719568319151</v>
      </c>
      <c r="F98" s="247">
        <f>E98</f>
        <v>1.109719568319151</v>
      </c>
      <c r="G98" s="247">
        <f>E98</f>
        <v>1.109719568319151</v>
      </c>
      <c r="H98" s="247">
        <f>E98</f>
        <v>1.109719568319151</v>
      </c>
      <c r="I98" s="247">
        <f>E98</f>
        <v>1.109719568319151</v>
      </c>
      <c r="M98" s="13" t="s">
        <v>272</v>
      </c>
      <c r="Q98" s="50"/>
      <c r="R98" s="50"/>
      <c r="S98" s="50"/>
      <c r="T98" s="55"/>
    </row>
    <row r="99" spans="1:20" x14ac:dyDescent="0.25">
      <c r="A99" s="22"/>
      <c r="C99" s="73"/>
      <c r="D99" s="73"/>
      <c r="E99" s="89"/>
      <c r="F99" s="270"/>
      <c r="G99" s="73"/>
      <c r="H99" s="73"/>
      <c r="I99" s="73"/>
      <c r="J99" s="73"/>
      <c r="K99" s="73"/>
      <c r="L99" s="73"/>
      <c r="M99" s="13" t="s">
        <v>273</v>
      </c>
      <c r="Q99" s="50"/>
      <c r="R99" s="50"/>
      <c r="S99" s="50"/>
      <c r="T99" s="55"/>
    </row>
    <row r="100" spans="1:20" x14ac:dyDescent="0.25">
      <c r="A100" s="22"/>
      <c r="C100" s="73"/>
      <c r="D100" s="73"/>
      <c r="E100" s="271"/>
      <c r="F100" s="272"/>
      <c r="G100" s="73"/>
      <c r="H100" s="73"/>
      <c r="I100" s="73"/>
      <c r="J100" s="73"/>
      <c r="K100" s="73"/>
      <c r="L100" s="269"/>
      <c r="M100" s="13" t="s">
        <v>275</v>
      </c>
      <c r="T100" s="292"/>
    </row>
    <row r="101" spans="1:20" x14ac:dyDescent="0.25">
      <c r="A101" s="22"/>
      <c r="B101" s="36" t="s">
        <v>315</v>
      </c>
      <c r="C101" s="73"/>
      <c r="D101" s="73"/>
      <c r="E101" s="73"/>
      <c r="F101" s="73"/>
      <c r="G101" s="73"/>
      <c r="H101" s="73"/>
      <c r="I101" s="73"/>
      <c r="J101" s="270"/>
      <c r="K101" s="270"/>
      <c r="L101" s="256"/>
      <c r="M101" s="13" t="s">
        <v>274</v>
      </c>
    </row>
    <row r="102" spans="1:20" x14ac:dyDescent="0.25">
      <c r="A102" s="22"/>
      <c r="B102" s="13" t="s">
        <v>256</v>
      </c>
      <c r="I102" s="73"/>
      <c r="J102" s="270"/>
      <c r="K102" s="270"/>
      <c r="L102" s="73"/>
      <c r="M102" s="13" t="s">
        <v>276</v>
      </c>
    </row>
    <row r="103" spans="1:20" ht="15.6" x14ac:dyDescent="0.3">
      <c r="A103" s="22"/>
      <c r="B103" s="534" t="str">
        <f>$B$1</f>
        <v xml:space="preserve">Jersey Central Power &amp; Light </v>
      </c>
      <c r="C103" s="534"/>
      <c r="D103" s="534"/>
      <c r="E103" s="534"/>
      <c r="F103" s="534"/>
      <c r="G103" s="534"/>
      <c r="H103" s="534"/>
      <c r="I103" s="534"/>
      <c r="J103" s="534"/>
      <c r="K103" s="534"/>
      <c r="L103" s="534"/>
      <c r="M103" s="13" t="s">
        <v>277</v>
      </c>
    </row>
    <row r="104" spans="1:20" ht="15.6" x14ac:dyDescent="0.3">
      <c r="A104" s="22"/>
      <c r="B104" s="534" t="str">
        <f>$B$2</f>
        <v>Attachment 2</v>
      </c>
      <c r="C104" s="534"/>
      <c r="D104" s="534"/>
      <c r="E104" s="534"/>
      <c r="F104" s="534"/>
      <c r="G104" s="534"/>
      <c r="H104" s="534"/>
      <c r="I104" s="534"/>
      <c r="J104" s="534"/>
      <c r="K104" s="534"/>
      <c r="L104" s="534"/>
      <c r="M104" s="13" t="s">
        <v>278</v>
      </c>
    </row>
    <row r="105" spans="1:20" x14ac:dyDescent="0.25">
      <c r="A105" s="22"/>
      <c r="M105" s="13" t="s">
        <v>279</v>
      </c>
    </row>
    <row r="106" spans="1:20" x14ac:dyDescent="0.25">
      <c r="A106" s="22"/>
      <c r="M106" s="13" t="s">
        <v>280</v>
      </c>
    </row>
    <row r="107" spans="1:20" x14ac:dyDescent="0.25">
      <c r="A107" s="18" t="s">
        <v>34</v>
      </c>
      <c r="B107" s="16" t="s">
        <v>51</v>
      </c>
      <c r="M107" s="13" t="s">
        <v>281</v>
      </c>
    </row>
    <row r="108" spans="1:20" x14ac:dyDescent="0.25">
      <c r="A108" s="22"/>
      <c r="B108" s="17" t="s">
        <v>171</v>
      </c>
      <c r="M108" s="13" t="s">
        <v>292</v>
      </c>
      <c r="S108" s="286">
        <v>2.1541000000000001E-2</v>
      </c>
    </row>
    <row r="109" spans="1:20" x14ac:dyDescent="0.25">
      <c r="A109" s="22"/>
      <c r="B109" s="17" t="s">
        <v>21</v>
      </c>
      <c r="M109" s="13" t="s">
        <v>298</v>
      </c>
      <c r="S109" s="109">
        <v>5.5999999999999999E-3</v>
      </c>
    </row>
    <row r="110" spans="1:20" ht="13.8" thickBot="1" x14ac:dyDescent="0.3">
      <c r="A110" s="22"/>
      <c r="B110" s="16"/>
      <c r="C110" s="26"/>
      <c r="D110" s="26"/>
      <c r="E110" s="26" t="str">
        <f>+E$13</f>
        <v>RT{1}</v>
      </c>
      <c r="F110" s="26" t="str">
        <f>+F$13</f>
        <v>RS{2}</v>
      </c>
      <c r="G110" s="26" t="str">
        <f>+G$13</f>
        <v>GS{3}</v>
      </c>
      <c r="H110" s="26" t="str">
        <f>+H$58</f>
        <v>GST {4}</v>
      </c>
      <c r="I110" s="26" t="str">
        <f>+I$13</f>
        <v>OL/SL</v>
      </c>
      <c r="J110" s="26"/>
      <c r="K110" s="26"/>
      <c r="L110" s="26"/>
      <c r="M110" s="288" t="s">
        <v>256</v>
      </c>
      <c r="N110" s="289">
        <v>1</v>
      </c>
      <c r="O110" s="13" t="s">
        <v>294</v>
      </c>
      <c r="P110" s="290">
        <v>1</v>
      </c>
      <c r="R110" s="13" t="s">
        <v>296</v>
      </c>
    </row>
    <row r="111" spans="1:20" ht="13.8" thickBot="1" x14ac:dyDescent="0.3">
      <c r="A111" s="22"/>
      <c r="M111" s="13" t="s">
        <v>293</v>
      </c>
      <c r="P111" s="13" t="s">
        <v>295</v>
      </c>
      <c r="R111" s="89" t="s">
        <v>297</v>
      </c>
      <c r="S111" s="291">
        <f>1-(1-S108)/(1-S109)</f>
        <v>1.6030772325020148E-2</v>
      </c>
    </row>
    <row r="112" spans="1:20" x14ac:dyDescent="0.25">
      <c r="A112" s="22"/>
      <c r="B112" s="28" t="s">
        <v>17</v>
      </c>
      <c r="C112" s="74"/>
      <c r="D112" s="74"/>
      <c r="E112" s="75" t="e">
        <f>(SUMPRODUCT(E20:E23,E65:E68,$C84:$C87,$H84:$H87)*E95+SUMPRODUCT(Q20:Q23,E65:E68,$E84:$E87,$I84:$I87)*E95)/SUM(E65:E68)</f>
        <v>#REF!</v>
      </c>
      <c r="F112" s="75">
        <f>(SUMPRODUCT(F20:F23,F65:F68,$C84:$C87,$H84:$H87)*F95+SUMPRODUCT(R20:R23,F65:F68,$E84:$E87,$I84:$I87)*F95)/SUM(F65:F68)</f>
        <v>37.580524145756122</v>
      </c>
      <c r="G112" s="75">
        <f>(SUMPRODUCT(G20:G23,G65:G68,$C84:$C87,$H84:$H87)*G95+SUMPRODUCT(S20:S23,G65:G68,$E84:$E87,$I84:$I87)*G95)/SUM(G65:G68)</f>
        <v>38.640579807616625</v>
      </c>
      <c r="H112" s="75" t="e">
        <f>(SUMPRODUCT(H20:H23,H65:H68,$C84:$C87,$H84:$H87)*H95+SUMPRODUCT(T20:T23,H65:H68,$E84:$E87,$I84:$I87)*H95)/SUM(H65:H68)</f>
        <v>#REF!</v>
      </c>
      <c r="I112" s="75">
        <f>(SUMPRODUCT(I20:I23,I65:I68,$C84:$C87,$H84:$H87)*I95+SUMPRODUCT(U20:U23,I65:I68,$E84:$E87,$I84:$I87)*I95)/SUM(I65:I68)</f>
        <v>32.234583574886983</v>
      </c>
      <c r="J112" s="76"/>
      <c r="K112" s="76"/>
      <c r="L112" s="74"/>
      <c r="M112" s="78" t="s">
        <v>303</v>
      </c>
    </row>
    <row r="113" spans="1:21" x14ac:dyDescent="0.25">
      <c r="A113" s="22"/>
      <c r="B113" s="77" t="s">
        <v>41</v>
      </c>
      <c r="C113" s="74"/>
      <c r="D113" s="74"/>
      <c r="E113" s="75" t="e">
        <f>(SUMPRODUCT(E20:E23,E65:E68,$C84:$C87,$H84:$H87)*E95)/SUMPRODUCT(E20:E23,E65:E68)</f>
        <v>#REF!</v>
      </c>
      <c r="F113" s="75">
        <f>(SUMPRODUCT(F20:F23,F65:F68,$C84:$C87,$H84:$H87)*F95)/SUMPRODUCT(F20:F23,F65:F68)</f>
        <v>46.4193049508931</v>
      </c>
      <c r="G113" s="75">
        <f>(SUMPRODUCT(G20:G23,G65:G68,$C84:$C87,$H84:$H87)*G95)/SUMPRODUCT(G20:G23,G65:G68)</f>
        <v>46.041059575198098</v>
      </c>
      <c r="H113" s="75" t="e">
        <f>(SUMPRODUCT(H20:H23,H65:H68,$C84:$C87,$H84:$H87)*H95)/SUMPRODUCT(H20:H23,H65:H68)</f>
        <v>#REF!</v>
      </c>
      <c r="I113" s="75">
        <f>(SUMPRODUCT(I20:I23,I65:I68,$C84:$C87,$H84:$H87)*I95)/SUMPRODUCT(I20:I23,I65:I68)</f>
        <v>45.650241554878697</v>
      </c>
      <c r="J113" s="76"/>
      <c r="K113" s="76"/>
      <c r="L113" s="74"/>
      <c r="M113" s="78" t="s">
        <v>304</v>
      </c>
      <c r="S113" s="305">
        <v>2.177098423009035E-2</v>
      </c>
    </row>
    <row r="114" spans="1:21" ht="13.8" thickBot="1" x14ac:dyDescent="0.3">
      <c r="A114" s="22"/>
      <c r="B114" s="77" t="s">
        <v>42</v>
      </c>
      <c r="C114" s="74"/>
      <c r="D114" s="74"/>
      <c r="E114" s="75" t="e">
        <f>(SUMPRODUCT(Q20:Q23,E65:E68,$E84:$E87,$I84:$I87)*E95)/SUMPRODUCT(Q20:Q23,E65:E68)</f>
        <v>#REF!</v>
      </c>
      <c r="F114" s="75">
        <f>(SUMPRODUCT(R20:R23,F65:F68,$E84:$E87,$I84:$I87)*F95)/SUMPRODUCT(R20:R23,F65:F68)</f>
        <v>28.147426178564654</v>
      </c>
      <c r="G114" s="75">
        <f>(SUMPRODUCT(S20:S23,G65:G68,$E84:$E87,$I84:$I87)*G95)/SUMPRODUCT(S20:S23,G65:G68)</f>
        <v>28.021038908318012</v>
      </c>
      <c r="H114" s="75" t="e">
        <f>(SUMPRODUCT(T20:T23,H65:H68,$E84:$E87,$I84:$I87)*H95)/SUMPRODUCT(T20:T23,H65:H68)</f>
        <v>#REF!</v>
      </c>
      <c r="I114" s="75">
        <f>(SUMPRODUCT(U20:U23,I65:I68,$E84:$E87,$I84:$I87)*I95)/SUMPRODUCT(U20:U23,I65:I68)</f>
        <v>27.937667647620344</v>
      </c>
      <c r="J114" s="76"/>
      <c r="K114" s="76"/>
      <c r="L114" s="74"/>
      <c r="M114" s="288" t="s">
        <v>256</v>
      </c>
      <c r="N114" s="289">
        <v>1</v>
      </c>
      <c r="O114" s="13" t="s">
        <v>294</v>
      </c>
      <c r="P114" s="290">
        <v>1</v>
      </c>
      <c r="R114" s="13" t="s">
        <v>296</v>
      </c>
    </row>
    <row r="115" spans="1:21" ht="13.8" thickBot="1" x14ac:dyDescent="0.3">
      <c r="A115" s="22"/>
      <c r="C115" s="143"/>
      <c r="D115" s="143"/>
      <c r="E115" s="144"/>
      <c r="F115" s="144"/>
      <c r="G115" s="144"/>
      <c r="H115" s="144"/>
      <c r="I115" s="144"/>
      <c r="J115" s="76"/>
      <c r="K115" s="76"/>
      <c r="L115" s="143"/>
      <c r="M115" s="13" t="s">
        <v>293</v>
      </c>
      <c r="P115" s="13" t="s">
        <v>310</v>
      </c>
      <c r="R115" s="89" t="s">
        <v>297</v>
      </c>
      <c r="S115" s="291">
        <f>1-(1-S113)/(1-S$109)</f>
        <v>1.6262051719720727E-2</v>
      </c>
    </row>
    <row r="116" spans="1:21" x14ac:dyDescent="0.25">
      <c r="A116" s="22"/>
      <c r="B116" s="28" t="s">
        <v>18</v>
      </c>
      <c r="C116" s="74"/>
      <c r="D116" s="74"/>
      <c r="E116" s="75" t="e">
        <f>(SUMPRODUCT(E15:E19,E60:E64,$C79:$C83,$H79:$H83)*E95+SUMPRODUCT(Q15:Q19,E60:E64,$E79:$E83,$I79:$I83)*E95+SUMPRODUCT(E24:E26,E69:E71,$C88:$C90,$H88:$H90)*E95+SUMPRODUCT(Q24:Q26,E69:E71,$E88:$E90,$I88:$I90)*E95)/SUM(E60:E64,E69:E71)</f>
        <v>#REF!</v>
      </c>
      <c r="F116" s="75">
        <f>(SUMPRODUCT(F15:F19,F60:F64,$C79:$C83,$H79:$H83)*F95+SUMPRODUCT(R15:R19,F60:F64,$E79:$E83,$I79:$I83)*F95+SUMPRODUCT(F24:F26,F69:F71,$C88:$C90,$H88:$H90)*F95+SUMPRODUCT(R24:R26,F69:F71,$E88:$E90,$I88:$I90)*F95)/SUM(F60:F64,F69:F71)</f>
        <v>40.83764050240741</v>
      </c>
      <c r="G116" s="75">
        <f>(SUMPRODUCT(G15:G19,G60:G64,$C79:$C83,$H79:$H83)*G95+SUMPRODUCT(S15:S19,G60:G64,$E79:$E83,$I79:$I83)*G95+SUMPRODUCT(G24:G26,G69:G71,$C88:$C90,$H88:$H90)*G95+SUMPRODUCT(S24:S26,G69:G71,$E88:$E90,$I88:$I90)*G95)/SUM(G60:G64,G69:G71)</f>
        <v>41.331883324363027</v>
      </c>
      <c r="H116" s="75" t="e">
        <f>(SUMPRODUCT(H15:H19,H60:H64,$C79:$C83,$H79:$H83)*H95+SUMPRODUCT(T15:T19,H60:H64,$E79:$E83,$I79:$I83)*H95+SUMPRODUCT(H24:H26,H69:H71,$C88:$C90,$H88:$H90)*H95+SUMPRODUCT(T24:T26,H69:H71,$E88:$E90,$I88:$I90)*H95)/SUM(H60:H64,H69:H71)</f>
        <v>#REF!</v>
      </c>
      <c r="I116" s="75">
        <f>(SUMPRODUCT(I15:I19,I60:I64,$C79:$C83,$H79:$H83)*I95+SUMPRODUCT(U15:U19,I60:I64,$E79:$E83,$I79:$I83)*I95+SUMPRODUCT(I24:I26,I69:I71,$C88:$C90,$H88:$H90)*I95+SUMPRODUCT(U24:U26,I69:I71,$E88:$E90,$I88:$I90)*I95)/SUM(I60:I64,I69:I71)</f>
        <v>37.144884233111569</v>
      </c>
      <c r="J116" s="76"/>
      <c r="K116" s="76"/>
      <c r="L116" s="74"/>
      <c r="M116" s="74"/>
    </row>
    <row r="117" spans="1:21" x14ac:dyDescent="0.25">
      <c r="A117" s="22"/>
      <c r="B117" s="77" t="s">
        <v>41</v>
      </c>
      <c r="C117" s="74"/>
      <c r="D117" s="74"/>
      <c r="E117" s="75" t="e">
        <f>(SUMPRODUCT(E15:E19,E60:E64,$C79:$C83,$H79:$H83)*E95+SUMPRODUCT(E24:E26,E69:E71,$C88:$C90,$H88:$H90)*E95)/(SUMPRODUCT(E15:E19,E60:E64)+SUMPRODUCT(E24:E26,E69:E71))</f>
        <v>#REF!</v>
      </c>
      <c r="F117" s="75">
        <f>(SUMPRODUCT(F15:F19,F60:F64,$C79:$C83,$H79:$H83)*F95+SUMPRODUCT(F24:F26,F69:F71,$C88:$C90,$H88:$H90)*F95)/(SUMPRODUCT(F15:F19,F60:F64)+SUMPRODUCT(F24:F26,F69:F71))</f>
        <v>47.748397989894443</v>
      </c>
      <c r="G117" s="75">
        <f>(SUMPRODUCT(G15:G19,G60:G64,$C79:$C83,$H79:$H83)*G95+SUMPRODUCT(G24:G26,G69:G71,$C88:$C90,$H88:$H90)*G95)/(SUMPRODUCT(G15:G19,G60:G64)+SUMPRODUCT(G24:G26,G69:G71))</f>
        <v>46.895493668142031</v>
      </c>
      <c r="H117" s="75" t="e">
        <f>(SUMPRODUCT(H15:H19,H60:H64,$C79:$C83,$H79:$H83)*H95+SUMPRODUCT(H24:H26,H69:H71,$C88:$C90,$H88:$H90)*H95)/(SUMPRODUCT(H15:H19,H60:H64)+SUMPRODUCT(H24:H26,H69:H71))</f>
        <v>#REF!</v>
      </c>
      <c r="I117" s="75">
        <f>(SUMPRODUCT(I15:I19,I60:I64,$C79:$C83,$H79:$H83)*I95+SUMPRODUCT(I24:I26,I69:I71,$C88:$C90,$H88:$H90)*I95)/(SUMPRODUCT(I15:I19,I60:I64)+SUMPRODUCT(I24:I26,I69:I71))</f>
        <v>47.0706534283213</v>
      </c>
      <c r="J117" s="76"/>
      <c r="K117" s="76"/>
      <c r="L117" s="74"/>
      <c r="M117" s="78" t="s">
        <v>309</v>
      </c>
      <c r="S117" s="305">
        <v>2.0613413137705427E-2</v>
      </c>
    </row>
    <row r="118" spans="1:21" ht="13.8" thickBot="1" x14ac:dyDescent="0.3">
      <c r="A118" s="22"/>
      <c r="B118" s="77" t="s">
        <v>42</v>
      </c>
      <c r="C118" s="74"/>
      <c r="D118" s="74"/>
      <c r="E118" s="75" t="e">
        <f>(SUMPRODUCT(Q15:Q19,E60:E64,$E79:$E83,$I79:$I83)*E95+SUMPRODUCT(Q24:Q26,E69:E71,$E88:$E90,$I88:$I90)*E95)/(SUMPRODUCT(Q15:Q19,E60:E64)+SUMPRODUCT(Q24:Q26,E69:E71))</f>
        <v>#REF!</v>
      </c>
      <c r="F118" s="75">
        <f>(SUMPRODUCT(R15:R19,F60:F64,$E79:$E83,$I79:$I83)*F95+SUMPRODUCT(R24:R26,F69:F71,$E88:$E90,$I88:$I90)*F95)/(SUMPRODUCT(R15:R19,F60:F64)+SUMPRODUCT(R24:R26,F69:F71))</f>
        <v>33.758628513748931</v>
      </c>
      <c r="G118" s="75">
        <f>(SUMPRODUCT(S15:S19,G60:G64,$E79:$E83,$I79:$I83)*G95+SUMPRODUCT(S24:S26,G69:G71,$E88:$E90,$I88:$I90)*G95)/(SUMPRODUCT(S15:S19,G60:G64)+SUMPRODUCT(S24:S26,G69:G71))</f>
        <v>33.45464256120291</v>
      </c>
      <c r="H118" s="75" t="e">
        <f>(SUMPRODUCT(T15:T19,H60:H64,$E79:$E83,$I79:$I83)*H95+SUMPRODUCT(T24:T26,H69:H71,$E88:$E90,$I88:$I90)*H95)/(SUMPRODUCT(T15:T19,H60:H64)+SUMPRODUCT(T24:T26,H69:H71))</f>
        <v>#REF!</v>
      </c>
      <c r="I118" s="75">
        <f>(SUMPRODUCT(U15:U19,I60:I64,$E79:$E83,$I79:$I83)*I95+SUMPRODUCT(U24:U26,I69:I71,$E88:$E90,$I88:$I90)*I95)/(SUMPRODUCT(U15:U19,I60:I64)+SUMPRODUCT(U24:U26,I69:I71))</f>
        <v>32.882231076317524</v>
      </c>
      <c r="J118" s="76"/>
      <c r="K118" s="76"/>
      <c r="L118" s="74"/>
      <c r="M118" s="288" t="s">
        <v>256</v>
      </c>
      <c r="N118" s="289">
        <v>1</v>
      </c>
      <c r="O118" s="13" t="s">
        <v>294</v>
      </c>
      <c r="P118" s="290">
        <v>1</v>
      </c>
      <c r="R118" s="13" t="s">
        <v>296</v>
      </c>
    </row>
    <row r="119" spans="1:21" ht="13.8" thickBot="1" x14ac:dyDescent="0.3">
      <c r="A119" s="22"/>
      <c r="C119" s="143"/>
      <c r="D119" s="143"/>
      <c r="E119" s="144"/>
      <c r="F119" s="144"/>
      <c r="G119" s="144"/>
      <c r="H119" s="144"/>
      <c r="I119" s="144"/>
      <c r="J119" s="76"/>
      <c r="K119" s="76"/>
      <c r="L119" s="143"/>
      <c r="M119" s="13" t="s">
        <v>293</v>
      </c>
      <c r="P119" s="13" t="s">
        <v>311</v>
      </c>
      <c r="R119" s="89" t="s">
        <v>297</v>
      </c>
      <c r="S119" s="291">
        <f>1-(1-S117)/(1-S109)</f>
        <v>1.509796172335609E-2</v>
      </c>
    </row>
    <row r="120" spans="1:21" x14ac:dyDescent="0.25">
      <c r="A120" s="22"/>
      <c r="B120" s="13" t="s">
        <v>16</v>
      </c>
      <c r="C120" s="74"/>
      <c r="D120" s="78"/>
      <c r="E120" s="79" t="e">
        <f>(E112*SUM(E65:E68)+E116*SUM(E60:E64,E69:E71))/E72</f>
        <v>#REF!</v>
      </c>
      <c r="F120" s="79">
        <f>(F112*SUM(F65:F68)+F116*SUM(F60:F64,F69:F71))/F72</f>
        <v>39.504156847135171</v>
      </c>
      <c r="G120" s="79">
        <f>(G112*SUM(G65:G68)+G116*SUM(G60:G64,G69:G71))/G72</f>
        <v>40.341972673219942</v>
      </c>
      <c r="H120" s="79" t="e">
        <f>(H112*SUM(H65:H68)+H116*SUM(H60:H64,H69:H71))/H72</f>
        <v>#REF!</v>
      </c>
      <c r="I120" s="79">
        <f>(I112*SUM(I65:I68)+I116*SUM(I60:I64,I69:I71))/I72</f>
        <v>35.508530082591093</v>
      </c>
      <c r="J120" s="76"/>
      <c r="K120" s="76"/>
      <c r="L120" s="78"/>
      <c r="M120" s="78"/>
    </row>
    <row r="121" spans="1:21" x14ac:dyDescent="0.25">
      <c r="A121" s="22"/>
      <c r="C121" s="74"/>
      <c r="D121" s="78"/>
      <c r="E121" s="78"/>
      <c r="F121" s="78"/>
      <c r="G121" s="78"/>
      <c r="H121" s="78"/>
      <c r="I121" s="78"/>
      <c r="J121" s="78"/>
      <c r="K121" s="78"/>
      <c r="L121" s="78"/>
      <c r="M121" s="78" t="s">
        <v>312</v>
      </c>
      <c r="S121" s="305">
        <v>1.9769999999999999E-2</v>
      </c>
    </row>
    <row r="122" spans="1:21" ht="13.8" thickBot="1" x14ac:dyDescent="0.3">
      <c r="A122" s="22"/>
      <c r="B122" s="13" t="s">
        <v>44</v>
      </c>
      <c r="C122" s="80" t="e">
        <f>SUMPRODUCT(C120:I120,C72:I72)/SUM(C72:I72)</f>
        <v>#REF!</v>
      </c>
      <c r="D122" s="78"/>
      <c r="E122" s="78"/>
      <c r="F122" s="78"/>
      <c r="G122" s="78"/>
      <c r="H122" s="78"/>
      <c r="I122" s="78"/>
      <c r="J122" s="78"/>
      <c r="K122" s="78"/>
      <c r="L122" s="78"/>
      <c r="M122" s="288" t="s">
        <v>256</v>
      </c>
      <c r="N122" s="289">
        <v>1</v>
      </c>
      <c r="O122" s="13" t="s">
        <v>294</v>
      </c>
      <c r="P122" s="290">
        <v>1</v>
      </c>
      <c r="R122" s="13" t="s">
        <v>296</v>
      </c>
    </row>
    <row r="123" spans="1:21" ht="13.8" thickBot="1" x14ac:dyDescent="0.3">
      <c r="A123" s="22"/>
      <c r="C123" s="74"/>
      <c r="D123" s="78"/>
      <c r="E123" s="78"/>
      <c r="F123" s="78"/>
      <c r="G123" s="78"/>
      <c r="H123" s="78"/>
      <c r="I123" s="78"/>
      <c r="J123" s="78"/>
      <c r="K123" s="78"/>
      <c r="L123" s="78"/>
      <c r="M123" s="13" t="s">
        <v>293</v>
      </c>
      <c r="P123" s="13" t="s">
        <v>313</v>
      </c>
      <c r="R123" s="89" t="s">
        <v>297</v>
      </c>
      <c r="S123" s="291">
        <f>1-(1-S121)/(1-S109)</f>
        <v>1.4249798873692598E-2</v>
      </c>
      <c r="U123" s="13">
        <f>1.118*(1-S123)</f>
        <v>1.1020687248592118</v>
      </c>
    </row>
    <row r="124" spans="1:21" x14ac:dyDescent="0.25">
      <c r="A124" s="22"/>
      <c r="C124" s="78"/>
      <c r="D124" s="78"/>
      <c r="E124" s="78"/>
      <c r="F124" s="78"/>
      <c r="G124" s="78"/>
      <c r="H124" s="78"/>
      <c r="I124" s="78"/>
      <c r="J124" s="78"/>
      <c r="K124" s="78"/>
      <c r="L124" s="78"/>
      <c r="M124" s="78"/>
    </row>
    <row r="125" spans="1:21" x14ac:dyDescent="0.25">
      <c r="A125" s="18" t="s">
        <v>35</v>
      </c>
      <c r="B125" s="16" t="s">
        <v>49</v>
      </c>
      <c r="C125" s="78"/>
      <c r="D125" s="78"/>
      <c r="E125" s="78"/>
      <c r="F125" s="78"/>
      <c r="G125" s="78"/>
      <c r="H125" s="78"/>
      <c r="I125" s="78"/>
      <c r="J125" s="78"/>
      <c r="K125" s="78"/>
      <c r="L125" s="78"/>
      <c r="M125" s="78" t="s">
        <v>314</v>
      </c>
      <c r="S125" s="305">
        <v>1.7454000000000001E-2</v>
      </c>
    </row>
    <row r="126" spans="1:21" ht="13.8" thickBot="1" x14ac:dyDescent="0.3">
      <c r="A126" s="22"/>
      <c r="B126" s="17" t="s">
        <v>172</v>
      </c>
      <c r="C126" s="78"/>
      <c r="D126" s="78"/>
      <c r="E126" s="78"/>
      <c r="F126" s="78"/>
      <c r="G126" s="78"/>
      <c r="H126" s="78"/>
      <c r="I126" s="78"/>
      <c r="J126" s="78"/>
      <c r="K126" s="78"/>
      <c r="L126" s="78"/>
      <c r="M126" s="288" t="s">
        <v>256</v>
      </c>
      <c r="N126" s="289">
        <v>1</v>
      </c>
      <c r="O126" s="13" t="s">
        <v>294</v>
      </c>
      <c r="P126" s="290">
        <v>1</v>
      </c>
      <c r="R126" s="13" t="s">
        <v>296</v>
      </c>
    </row>
    <row r="127" spans="1:21" ht="13.8" thickBot="1" x14ac:dyDescent="0.3">
      <c r="A127" s="22"/>
      <c r="B127" s="17" t="s">
        <v>43</v>
      </c>
      <c r="C127" s="78"/>
      <c r="D127" s="78"/>
      <c r="E127" s="78"/>
      <c r="F127" s="78"/>
      <c r="G127" s="78"/>
      <c r="H127" s="78"/>
      <c r="I127" s="78"/>
      <c r="J127" s="78"/>
      <c r="K127" s="78"/>
      <c r="L127" s="78"/>
      <c r="M127" s="13" t="s">
        <v>293</v>
      </c>
      <c r="P127" s="13" t="s">
        <v>316</v>
      </c>
      <c r="R127" s="89" t="s">
        <v>297</v>
      </c>
      <c r="S127" s="291">
        <f>1-(1-S125)/(1-S109)</f>
        <v>1.1920756234915397E-2</v>
      </c>
      <c r="U127" s="13">
        <f>1.118*(1-S127)</f>
        <v>1.1046725945293647</v>
      </c>
    </row>
    <row r="128" spans="1:21" x14ac:dyDescent="0.25">
      <c r="A128" s="22"/>
      <c r="B128" s="16"/>
      <c r="C128" s="26"/>
      <c r="D128" s="26"/>
      <c r="E128" s="26" t="str">
        <f>+E$13</f>
        <v>RT{1}</v>
      </c>
      <c r="F128" s="26" t="str">
        <f>+F$13</f>
        <v>RS{2}</v>
      </c>
      <c r="G128" s="26" t="str">
        <f>+G$13</f>
        <v>GS{3}</v>
      </c>
      <c r="H128" s="26" t="str">
        <f>+H$58</f>
        <v>GST {4}</v>
      </c>
      <c r="I128" s="26" t="str">
        <f>+I$13</f>
        <v>OL/SL</v>
      </c>
      <c r="J128" s="26" t="s">
        <v>13</v>
      </c>
      <c r="K128" s="26"/>
      <c r="L128" s="26"/>
      <c r="M128" s="26"/>
    </row>
    <row r="129" spans="1:21" x14ac:dyDescent="0.25">
      <c r="A129" s="22"/>
      <c r="C129" s="81"/>
      <c r="M129" s="78" t="s">
        <v>323</v>
      </c>
      <c r="S129" s="305">
        <v>1.6509253364127254E-2</v>
      </c>
    </row>
    <row r="130" spans="1:21" ht="13.8" thickBot="1" x14ac:dyDescent="0.3">
      <c r="A130" s="22"/>
      <c r="B130" s="28" t="s">
        <v>17</v>
      </c>
      <c r="C130" s="76"/>
      <c r="D130" s="76"/>
      <c r="E130" s="76" t="e">
        <f>SUM(E65:E68)*E112/1000</f>
        <v>#REF!</v>
      </c>
      <c r="F130" s="76">
        <f>SUM(F65:F68)*F112/1000</f>
        <v>137670.35006568668</v>
      </c>
      <c r="G130" s="76">
        <f>SUM(G65:G68)*G112/1000</f>
        <v>84073.478014975713</v>
      </c>
      <c r="H130" s="76" t="e">
        <f>SUM(H65:H68)*H112/1000</f>
        <v>#REF!</v>
      </c>
      <c r="I130" s="76">
        <f>SUM(I65:I68)*I112/1000</f>
        <v>1235.3904155075436</v>
      </c>
      <c r="J130" s="76" t="e">
        <f>SUM(E130:I130)</f>
        <v>#REF!</v>
      </c>
      <c r="K130" s="76"/>
      <c r="L130" s="76"/>
      <c r="M130" s="288" t="s">
        <v>256</v>
      </c>
      <c r="N130" s="289">
        <v>1</v>
      </c>
      <c r="O130" s="13" t="s">
        <v>294</v>
      </c>
      <c r="P130" s="290">
        <v>1</v>
      </c>
      <c r="R130" s="13" t="s">
        <v>296</v>
      </c>
    </row>
    <row r="131" spans="1:21" ht="13.8" thickBot="1" x14ac:dyDescent="0.3">
      <c r="A131" s="22"/>
      <c r="B131" s="77" t="s">
        <v>41</v>
      </c>
      <c r="C131" s="76"/>
      <c r="D131" s="76"/>
      <c r="E131" s="76" t="e">
        <f>SUMPRODUCT(E65:E68,E20:E23)*E113/1000</f>
        <v>#REF!</v>
      </c>
      <c r="F131" s="76">
        <f>SUMPRODUCT(F65:F68,F20:F23)*F113/1000</f>
        <v>87790.466482875476</v>
      </c>
      <c r="G131" s="76">
        <f>SUMPRODUCT(G65:G68,G20:G23)*G113/1000</f>
        <v>59035.214628342699</v>
      </c>
      <c r="H131" s="76" t="e">
        <f>SUMPRODUCT(H65:H68,H20:H23)*H113/1000</f>
        <v>#REF!</v>
      </c>
      <c r="I131" s="76">
        <f>SUMPRODUCT(I65:I68,I20:I23)*I113/1000</f>
        <v>424.42447926575835</v>
      </c>
      <c r="J131" s="76" t="e">
        <f>SUM(E131:I131)</f>
        <v>#REF!</v>
      </c>
      <c r="K131" s="76"/>
      <c r="L131" s="76"/>
      <c r="M131" s="13" t="s">
        <v>293</v>
      </c>
      <c r="P131" s="13" t="s">
        <v>322</v>
      </c>
      <c r="R131" s="89" t="s">
        <v>297</v>
      </c>
      <c r="S131" s="291">
        <f>1-(1-S129)/(1-S109)</f>
        <v>1.0970689223780306E-2</v>
      </c>
      <c r="U131" s="13">
        <f>1.118*(1-S131)</f>
        <v>1.1057347694478137</v>
      </c>
    </row>
    <row r="132" spans="1:21" x14ac:dyDescent="0.25">
      <c r="A132" s="22"/>
      <c r="B132" s="77" t="s">
        <v>42</v>
      </c>
      <c r="C132" s="76"/>
      <c r="D132" s="76"/>
      <c r="E132" s="76" t="e">
        <f>SUMPRODUCT(E65:E68,Q20:Q23)*E114/1000</f>
        <v>#REF!</v>
      </c>
      <c r="F132" s="76">
        <f>SUMPRODUCT(F65:F68,R20:R23)*F114/1000</f>
        <v>49879.883582811184</v>
      </c>
      <c r="G132" s="76">
        <f>SUMPRODUCT(G65:G68,S20:S23)*G114/1000</f>
        <v>25038.263386633025</v>
      </c>
      <c r="H132" s="76" t="e">
        <f>SUMPRODUCT(H65:H68,T20:T23)*H114/1000</f>
        <v>#REF!</v>
      </c>
      <c r="I132" s="76">
        <f>SUMPRODUCT(I65:I68,U20:U23)*I114/1000</f>
        <v>810.96593624178513</v>
      </c>
      <c r="J132" s="76" t="e">
        <f>SUM(E132:I132)</f>
        <v>#REF!</v>
      </c>
      <c r="K132" s="76"/>
      <c r="L132" s="76"/>
      <c r="M132" s="76"/>
    </row>
    <row r="133" spans="1:21" x14ac:dyDescent="0.25">
      <c r="A133" s="22"/>
      <c r="C133" s="82"/>
      <c r="D133" s="82"/>
      <c r="E133" s="82"/>
      <c r="F133" s="82"/>
      <c r="G133" s="82"/>
      <c r="H133" s="82"/>
      <c r="I133" s="82"/>
      <c r="J133" s="76"/>
      <c r="K133" s="76"/>
      <c r="L133" s="82"/>
      <c r="M133" s="241" t="s">
        <v>386</v>
      </c>
      <c r="S133" s="305">
        <v>1.5908978532922762E-2</v>
      </c>
    </row>
    <row r="134" spans="1:21" ht="13.8" thickBot="1" x14ac:dyDescent="0.3">
      <c r="A134" s="22"/>
      <c r="B134" s="28" t="s">
        <v>18</v>
      </c>
      <c r="C134" s="82"/>
      <c r="D134" s="82"/>
      <c r="E134" s="82" t="e">
        <f>SUM(E60:E64,E69:E71)*E116/1000</f>
        <v>#REF!</v>
      </c>
      <c r="F134" s="82">
        <f>SUM(F60:F64,F69:F71)*F116/1000</f>
        <v>215810.5541613817</v>
      </c>
      <c r="G134" s="82">
        <f>SUM(G60:G64,G69:G71)*G116/1000</f>
        <v>154564.29756095473</v>
      </c>
      <c r="H134" s="82" t="e">
        <f>SUM(H60:H64,H69:H71)*H116/1000</f>
        <v>#REF!</v>
      </c>
      <c r="I134" s="82">
        <f>SUM(I60:I64,I69:I71)*I116/1000</f>
        <v>2848.232578110762</v>
      </c>
      <c r="J134" s="76" t="e">
        <f>SUM(E134:I134)</f>
        <v>#REF!</v>
      </c>
      <c r="K134" s="76"/>
      <c r="L134" s="82"/>
      <c r="M134" s="288" t="s">
        <v>256</v>
      </c>
      <c r="N134" s="289">
        <v>1</v>
      </c>
      <c r="O134" s="13" t="s">
        <v>294</v>
      </c>
      <c r="P134" s="290">
        <v>1</v>
      </c>
      <c r="R134" s="13" t="s">
        <v>296</v>
      </c>
    </row>
    <row r="135" spans="1:21" ht="13.8" thickBot="1" x14ac:dyDescent="0.3">
      <c r="A135" s="22"/>
      <c r="B135" s="77" t="s">
        <v>41</v>
      </c>
      <c r="C135" s="76"/>
      <c r="D135" s="76"/>
      <c r="E135" s="76" t="e">
        <f>(SUMPRODUCT(E60:E64,E15:E19)+SUMPRODUCT(E69:E71,E24:E26))*E117/1000</f>
        <v>#REF!</v>
      </c>
      <c r="F135" s="76">
        <f>(SUMPRODUCT(F60:F64,F15:F19)+SUMPRODUCT(F69:F71,F24:F26))*F117/1000</f>
        <v>127682.95730718542</v>
      </c>
      <c r="G135" s="76">
        <f>(SUMPRODUCT(G60:G64,G15:G19)+SUMPRODUCT(G69:G71,G24:G26))*G117/1000</f>
        <v>102778.5416934528</v>
      </c>
      <c r="H135" s="76" t="e">
        <f>(SUMPRODUCT(H60:H64,H15:H19)+SUMPRODUCT(H69:H71,H24:H26))*H117/1000</f>
        <v>#REF!</v>
      </c>
      <c r="I135" s="76">
        <f>(SUMPRODUCT(I60:I64,I15:I19)+SUMPRODUCT(I69:I71,I24:I26))*I117/1000</f>
        <v>1084.3576713616944</v>
      </c>
      <c r="J135" s="76" t="e">
        <f>SUM(E135:I135)</f>
        <v>#REF!</v>
      </c>
      <c r="K135" s="76"/>
      <c r="L135" s="76"/>
      <c r="M135" s="13" t="s">
        <v>293</v>
      </c>
      <c r="P135" s="406" t="s">
        <v>387</v>
      </c>
      <c r="R135" s="89" t="s">
        <v>297</v>
      </c>
      <c r="S135" s="291">
        <f>1-(1-S133)/(1-S109)</f>
        <v>1.0367033922890845E-2</v>
      </c>
      <c r="U135" s="13">
        <f>1.118*(1-S135)</f>
        <v>1.106409656074208</v>
      </c>
    </row>
    <row r="136" spans="1:21" x14ac:dyDescent="0.25">
      <c r="A136" s="22"/>
      <c r="B136" s="77" t="s">
        <v>42</v>
      </c>
      <c r="C136" s="76"/>
      <c r="D136" s="76"/>
      <c r="E136" s="76" t="e">
        <f>+(SUMPRODUCT(E60:E64,Q15:Q19)+SUMPRODUCT(E69:E71,Q24:Q26))*E118/1000</f>
        <v>#REF!</v>
      </c>
      <c r="F136" s="76">
        <f>+(SUMPRODUCT(F60:F64,R15:R19)+SUMPRODUCT(F69:F71,R24:R26))*F118/1000</f>
        <v>88127.59685419625</v>
      </c>
      <c r="G136" s="76">
        <f>+(SUMPRODUCT(G60:G64,S15:S19)+SUMPRODUCT(G69:G71,S24:S26))*G118/1000</f>
        <v>51785.755867501925</v>
      </c>
      <c r="H136" s="76" t="e">
        <f>+(SUMPRODUCT(H60:H64,T15:T19)+SUMPRODUCT(H69:H71,T24:T26))*H118/1000</f>
        <v>#REF!</v>
      </c>
      <c r="I136" s="76">
        <f>+(SUMPRODUCT(I60:I64,U15:U19)+SUMPRODUCT(I69:I71,U24:U26))*I118/1000</f>
        <v>1763.8749067490678</v>
      </c>
      <c r="J136" s="76" t="e">
        <f>SUM(E136:I136)</f>
        <v>#REF!</v>
      </c>
      <c r="K136" s="76"/>
      <c r="L136" s="76"/>
      <c r="M136" s="76"/>
    </row>
    <row r="137" spans="1:21" x14ac:dyDescent="0.25">
      <c r="A137" s="22"/>
      <c r="C137" s="143"/>
      <c r="D137" s="143"/>
      <c r="E137" s="143"/>
      <c r="F137" s="143"/>
      <c r="G137" s="143"/>
      <c r="H137" s="143"/>
      <c r="I137" s="143"/>
      <c r="J137" s="76"/>
      <c r="K137" s="76"/>
      <c r="L137" s="143"/>
      <c r="M137" s="241" t="s">
        <v>392</v>
      </c>
      <c r="S137" s="305">
        <v>1.4001507229832471E-2</v>
      </c>
    </row>
    <row r="138" spans="1:21" ht="13.8" thickBot="1" x14ac:dyDescent="0.3">
      <c r="A138" s="22"/>
      <c r="B138" s="13" t="s">
        <v>16</v>
      </c>
      <c r="C138" s="82"/>
      <c r="D138" s="82"/>
      <c r="E138" s="82" t="e">
        <f>+E130+E134</f>
        <v>#REF!</v>
      </c>
      <c r="F138" s="82">
        <f>+F130+F134</f>
        <v>353480.90422706841</v>
      </c>
      <c r="G138" s="82">
        <f>+G130+G134</f>
        <v>238637.77557593043</v>
      </c>
      <c r="H138" s="82" t="e">
        <f>+H130+H134</f>
        <v>#REF!</v>
      </c>
      <c r="I138" s="82">
        <f>+I130+I134</f>
        <v>4083.6229936183054</v>
      </c>
      <c r="J138" s="76" t="e">
        <f>SUM(E138:I138)</f>
        <v>#REF!</v>
      </c>
      <c r="K138" s="76"/>
      <c r="L138" s="82"/>
      <c r="M138" s="288" t="s">
        <v>256</v>
      </c>
      <c r="N138" s="289">
        <v>1</v>
      </c>
      <c r="O138" s="13" t="s">
        <v>294</v>
      </c>
      <c r="P138" s="290">
        <v>1</v>
      </c>
      <c r="R138" s="13" t="s">
        <v>296</v>
      </c>
    </row>
    <row r="139" spans="1:21" ht="13.8" thickBot="1" x14ac:dyDescent="0.3">
      <c r="A139" s="22"/>
      <c r="M139" s="13" t="s">
        <v>293</v>
      </c>
      <c r="P139" s="406" t="s">
        <v>415</v>
      </c>
      <c r="R139" s="89" t="s">
        <v>297</v>
      </c>
      <c r="S139" s="291">
        <f>1-(1-S137)/(1-S109)</f>
        <v>8.4488206253343634E-3</v>
      </c>
      <c r="U139" s="13">
        <f>1.118*(1-S139)</f>
        <v>1.1085542185408763</v>
      </c>
    </row>
    <row r="140" spans="1:21" x14ac:dyDescent="0.25">
      <c r="A140" s="22"/>
      <c r="B140" s="13" t="s">
        <v>44</v>
      </c>
      <c r="C140" s="76" t="e">
        <f>SUM(C138:I138)</f>
        <v>#REF!</v>
      </c>
      <c r="E140" s="83"/>
      <c r="F140" s="74"/>
    </row>
    <row r="141" spans="1:21" x14ac:dyDescent="0.25">
      <c r="A141" s="22"/>
      <c r="M141" s="241" t="s">
        <v>442</v>
      </c>
      <c r="S141" s="305">
        <v>1.2964311131386913E-2</v>
      </c>
    </row>
    <row r="142" spans="1:21" ht="13.8" thickBot="1" x14ac:dyDescent="0.3">
      <c r="A142" s="22"/>
      <c r="M142" s="288" t="s">
        <v>256</v>
      </c>
      <c r="N142" s="289">
        <v>1</v>
      </c>
      <c r="O142" s="13" t="s">
        <v>294</v>
      </c>
      <c r="P142" s="290">
        <v>1</v>
      </c>
      <c r="R142" s="13" t="s">
        <v>296</v>
      </c>
    </row>
    <row r="143" spans="1:21" ht="16.2" thickBot="1" x14ac:dyDescent="0.35">
      <c r="A143" s="22"/>
      <c r="B143" s="534" t="str">
        <f>$B$1</f>
        <v xml:space="preserve">Jersey Central Power &amp; Light </v>
      </c>
      <c r="C143" s="534"/>
      <c r="D143" s="534"/>
      <c r="E143" s="534"/>
      <c r="F143" s="534"/>
      <c r="G143" s="534"/>
      <c r="H143" s="534"/>
      <c r="I143" s="534"/>
      <c r="J143" s="534"/>
      <c r="K143" s="534"/>
      <c r="L143" s="534"/>
      <c r="M143" s="13" t="s">
        <v>293</v>
      </c>
      <c r="P143" s="406" t="s">
        <v>415</v>
      </c>
      <c r="R143" s="89" t="s">
        <v>297</v>
      </c>
      <c r="S143" s="291">
        <f>1-(1-S141)/(1-S109)</f>
        <v>7.4057835190938226E-3</v>
      </c>
      <c r="U143" s="13">
        <f>1.118*(1-S143)</f>
        <v>1.1097203340256532</v>
      </c>
    </row>
    <row r="144" spans="1:21" ht="15.6" x14ac:dyDescent="0.3">
      <c r="A144" s="22"/>
      <c r="B144" s="534" t="str">
        <f>$B$2</f>
        <v>Attachment 2</v>
      </c>
      <c r="C144" s="534"/>
      <c r="D144" s="534"/>
      <c r="E144" s="534"/>
      <c r="F144" s="534"/>
      <c r="G144" s="534"/>
      <c r="H144" s="534"/>
      <c r="I144" s="534"/>
      <c r="J144" s="534"/>
      <c r="K144" s="534"/>
      <c r="L144" s="534"/>
    </row>
    <row r="145" spans="1:51" x14ac:dyDescent="0.25">
      <c r="A145" s="22"/>
    </row>
    <row r="146" spans="1:51" x14ac:dyDescent="0.25">
      <c r="A146" s="22"/>
    </row>
    <row r="147" spans="1:51" x14ac:dyDescent="0.25">
      <c r="A147" s="18" t="s">
        <v>70</v>
      </c>
      <c r="B147" s="16" t="s">
        <v>71</v>
      </c>
      <c r="C147" s="78"/>
      <c r="Q147" s="13" t="s">
        <v>126</v>
      </c>
      <c r="T147" s="13" t="s">
        <v>122</v>
      </c>
      <c r="W147" s="13" t="s">
        <v>123</v>
      </c>
      <c r="Z147" s="13" t="s">
        <v>124</v>
      </c>
    </row>
    <row r="148" spans="1:51" x14ac:dyDescent="0.25">
      <c r="A148" s="22"/>
      <c r="B148" s="17" t="s">
        <v>173</v>
      </c>
      <c r="C148" s="78"/>
      <c r="W148" s="13" t="s">
        <v>127</v>
      </c>
      <c r="Z148" s="13" t="s">
        <v>128</v>
      </c>
      <c r="AC148" s="13" t="s">
        <v>125</v>
      </c>
    </row>
    <row r="149" spans="1:51" x14ac:dyDescent="0.25">
      <c r="A149" s="22"/>
      <c r="B149" s="17" t="s">
        <v>21</v>
      </c>
      <c r="C149" s="78"/>
    </row>
    <row r="150" spans="1:51" x14ac:dyDescent="0.25">
      <c r="A150" s="22"/>
      <c r="B150" s="16"/>
      <c r="C150" s="26"/>
      <c r="D150" s="26"/>
      <c r="E150" s="26" t="str">
        <f>+E$13</f>
        <v>RT{1}</v>
      </c>
      <c r="F150" s="26" t="str">
        <f>+F$13</f>
        <v>RS{2}</v>
      </c>
      <c r="G150" s="26" t="str">
        <f>+G$13</f>
        <v>GS{3}</v>
      </c>
      <c r="H150" s="26" t="str">
        <f>+H$58</f>
        <v>GST {4}</v>
      </c>
      <c r="I150" s="26" t="str">
        <f>+I$13</f>
        <v>OL/SL</v>
      </c>
      <c r="J150" s="26"/>
      <c r="K150" s="26"/>
      <c r="L150" s="26"/>
      <c r="M150" s="26"/>
      <c r="Q150" s="26" t="str">
        <f>+$H150</f>
        <v>GST {4}</v>
      </c>
      <c r="R150" s="26"/>
      <c r="S150" s="26"/>
      <c r="T150" s="26" t="str">
        <f>+$H150</f>
        <v>GST {4}</v>
      </c>
      <c r="U150" s="26"/>
      <c r="V150" s="26"/>
      <c r="W150" s="26" t="str">
        <f>+$H150</f>
        <v>GST {4}</v>
      </c>
      <c r="X150" s="26"/>
      <c r="Z150" s="26" t="str">
        <f>+$H150</f>
        <v>GST {4}</v>
      </c>
      <c r="AA150" s="26"/>
      <c r="AC150" s="26" t="str">
        <f>+$H150</f>
        <v>GST {4}</v>
      </c>
      <c r="AD150" s="26"/>
      <c r="AU150" s="26" t="str">
        <f>+E$13</f>
        <v>RT{1}</v>
      </c>
      <c r="AV150" s="26" t="str">
        <f>+F$13</f>
        <v>RS{2}</v>
      </c>
      <c r="AW150" s="26" t="str">
        <f>+G$13</f>
        <v>GS{3}</v>
      </c>
      <c r="AX150" s="26" t="str">
        <f>+H$13</f>
        <v>GST</v>
      </c>
      <c r="AY150" s="26" t="str">
        <f>+I$13</f>
        <v>OL/SL</v>
      </c>
    </row>
    <row r="151" spans="1:51" x14ac:dyDescent="0.25">
      <c r="A151" s="22"/>
      <c r="C151" s="81"/>
    </row>
    <row r="152" spans="1:51" x14ac:dyDescent="0.25">
      <c r="A152" s="22"/>
      <c r="B152" s="28" t="s">
        <v>17</v>
      </c>
      <c r="C152" s="80"/>
      <c r="D152" s="80"/>
      <c r="E152" s="75" t="e">
        <f>+E130/SUM(E65:E68)*1000</f>
        <v>#REF!</v>
      </c>
      <c r="F152" s="75">
        <f>+F130/SUM(F65:F68)*1000</f>
        <v>37.580524145756129</v>
      </c>
      <c r="G152" s="75">
        <f>+G130/SUM(G65:G68)*1000</f>
        <v>38.640579807616618</v>
      </c>
      <c r="H152" s="75" t="e">
        <f>+H130/SUM(H65:H68)*1000</f>
        <v>#REF!</v>
      </c>
      <c r="I152" s="75">
        <f>+I130/SUM(I65:I68)*1000</f>
        <v>32.234583574886983</v>
      </c>
      <c r="J152" s="80"/>
      <c r="K152" s="80"/>
      <c r="L152" s="80"/>
      <c r="M152" s="80"/>
      <c r="P152" s="134" t="s">
        <v>25</v>
      </c>
      <c r="AU152" s="55" t="e">
        <f>SUM(E67:E68)</f>
        <v>#REF!</v>
      </c>
      <c r="AV152" s="55">
        <f>SUM(F67:F68)</f>
        <v>1973251</v>
      </c>
      <c r="AW152" s="55">
        <f>SUM(G67:G68)</f>
        <v>1101457</v>
      </c>
      <c r="AX152" s="55" t="e">
        <f>SUM(H67:H68)</f>
        <v>#REF!</v>
      </c>
      <c r="AY152" s="55">
        <f>SUM(I67:I68)</f>
        <v>19152</v>
      </c>
    </row>
    <row r="153" spans="1:51" x14ac:dyDescent="0.25">
      <c r="A153" s="22"/>
      <c r="B153" s="77" t="s">
        <v>72</v>
      </c>
      <c r="C153" s="76"/>
      <c r="D153" s="76"/>
      <c r="E153" s="75" t="e">
        <f>+(E131*1000-X165*AVERAGE(E$113,E$114))/R165</f>
        <v>#REF!</v>
      </c>
      <c r="F153" s="75"/>
      <c r="G153" s="75"/>
      <c r="H153" s="75" t="e">
        <f>+(H131*1000-W153*AVERAGE(H$113,H$114))/Q153</f>
        <v>#REF!</v>
      </c>
      <c r="I153" s="75"/>
      <c r="J153" s="76"/>
      <c r="K153" s="76"/>
      <c r="L153" s="76"/>
      <c r="M153" s="80"/>
      <c r="P153" s="13" t="s">
        <v>14</v>
      </c>
      <c r="Q153" s="55" t="e">
        <f>T65</f>
        <v>#REF!</v>
      </c>
      <c r="R153" s="55"/>
      <c r="T153" s="55" t="e">
        <f>T76</f>
        <v>#REF!</v>
      </c>
      <c r="U153" s="55"/>
      <c r="W153" s="55" t="e">
        <f>+T153-Q153</f>
        <v>#REF!</v>
      </c>
      <c r="X153" s="55"/>
      <c r="Z153" s="145" t="e">
        <f>+H153*Q153/1000</f>
        <v>#REF!</v>
      </c>
      <c r="AA153" s="145"/>
      <c r="AX153" s="55" t="e">
        <f>ROUND(SUMPRODUCT(H65:H68,H38:H41),0)</f>
        <v>#REF!</v>
      </c>
    </row>
    <row r="154" spans="1:51" ht="15" x14ac:dyDescent="0.4">
      <c r="A154" s="22"/>
      <c r="B154" s="77" t="s">
        <v>73</v>
      </c>
      <c r="C154" s="76"/>
      <c r="D154" s="76"/>
      <c r="E154" s="75" t="e">
        <f>+(E132*1000-X166*AVERAGE(E$113,E$114))/R166</f>
        <v>#REF!</v>
      </c>
      <c r="F154" s="75"/>
      <c r="G154" s="75"/>
      <c r="H154" s="75" t="e">
        <f>+(H132*1000-W154*AVERAGE(H$113,H$114))/Q154</f>
        <v>#REF!</v>
      </c>
      <c r="I154" s="75"/>
      <c r="J154" s="76"/>
      <c r="K154" s="76"/>
      <c r="L154" s="76"/>
      <c r="M154" s="80"/>
      <c r="P154" s="13" t="s">
        <v>15</v>
      </c>
      <c r="Q154" s="55" t="e">
        <f>T66</f>
        <v>#REF!</v>
      </c>
      <c r="R154" s="55"/>
      <c r="T154" s="55" t="e">
        <f>T77</f>
        <v>#REF!</v>
      </c>
      <c r="U154" s="55"/>
      <c r="W154" s="55" t="e">
        <f>+T154-Q154</f>
        <v>#REF!</v>
      </c>
      <c r="X154" s="55"/>
      <c r="Z154" s="85" t="e">
        <f>+H154*Q154/1000</f>
        <v>#REF!</v>
      </c>
      <c r="AA154" s="85"/>
      <c r="AX154" s="55" t="e">
        <f>AX152-AX153</f>
        <v>#REF!</v>
      </c>
    </row>
    <row r="155" spans="1:51" x14ac:dyDescent="0.25">
      <c r="A155" s="22"/>
      <c r="C155" s="82"/>
      <c r="D155" s="82"/>
      <c r="E155" s="79"/>
      <c r="F155" s="79"/>
      <c r="G155" s="79"/>
      <c r="H155" s="79"/>
      <c r="I155" s="79"/>
      <c r="J155" s="82"/>
      <c r="K155" s="82"/>
      <c r="L155" s="82"/>
      <c r="M155" s="82"/>
      <c r="Q155" s="55"/>
      <c r="R155" s="55"/>
      <c r="T155" s="55"/>
      <c r="U155" s="55"/>
      <c r="W155" s="55"/>
      <c r="X155" s="55"/>
      <c r="Z155" s="145" t="e">
        <f>+Z154+Z153</f>
        <v>#REF!</v>
      </c>
      <c r="AA155" s="145"/>
      <c r="AC155" s="81" t="e">
        <f>+H130</f>
        <v>#REF!</v>
      </c>
      <c r="AD155" s="81"/>
    </row>
    <row r="156" spans="1:51" x14ac:dyDescent="0.25">
      <c r="A156" s="22"/>
      <c r="B156" s="28" t="s">
        <v>18</v>
      </c>
      <c r="C156" s="78"/>
      <c r="D156" s="78"/>
      <c r="E156" s="79" t="e">
        <f>+E134/SUM(E60:E64,E69:E71)*1000</f>
        <v>#REF!</v>
      </c>
      <c r="F156" s="79">
        <f>+F134/SUM(F60:F64,F69:F71)*1000</f>
        <v>40.83764050240741</v>
      </c>
      <c r="G156" s="79">
        <f>+G134/SUM(G60:G64,G69:G71)*1000</f>
        <v>41.331883324363027</v>
      </c>
      <c r="H156" s="79" t="e">
        <f>+H134/SUM(H60:H64,H69:H71)*1000</f>
        <v>#REF!</v>
      </c>
      <c r="I156" s="79">
        <f>+I134/SUM(I60:I64,I69:I71)*1000</f>
        <v>37.144884233111569</v>
      </c>
      <c r="J156" s="78"/>
      <c r="K156" s="78"/>
      <c r="L156" s="78"/>
      <c r="M156" s="78"/>
      <c r="P156" s="134" t="s">
        <v>26</v>
      </c>
      <c r="Q156" s="55"/>
      <c r="R156" s="55"/>
      <c r="T156" s="55"/>
      <c r="U156" s="55"/>
      <c r="W156" s="55"/>
      <c r="X156" s="55"/>
      <c r="Z156" s="145"/>
      <c r="AA156" s="145"/>
      <c r="AC156" s="81"/>
      <c r="AU156" s="55" t="e">
        <f>E72-AU152</f>
        <v>#REF!</v>
      </c>
      <c r="AV156" s="55">
        <f>F72-AV152</f>
        <v>6974691</v>
      </c>
      <c r="AW156" s="55">
        <f>G72-AW152</f>
        <v>4813915</v>
      </c>
      <c r="AX156" s="55" t="e">
        <f>H72-AX152</f>
        <v>#REF!</v>
      </c>
      <c r="AY156" s="55">
        <f>I72-AY152</f>
        <v>95852</v>
      </c>
    </row>
    <row r="157" spans="1:51" x14ac:dyDescent="0.25">
      <c r="A157" s="22"/>
      <c r="B157" s="77" t="s">
        <v>72</v>
      </c>
      <c r="C157" s="76"/>
      <c r="D157" s="76"/>
      <c r="E157" s="75" t="e">
        <f>+(E135*1000-X170*AVERAGE(E$113,E$114))/R170</f>
        <v>#REF!</v>
      </c>
      <c r="F157" s="75"/>
      <c r="G157" s="75"/>
      <c r="H157" s="75" t="e">
        <f>+(H135*1000-W157*AVERAGE(H$117,H$118))/Q157</f>
        <v>#REF!</v>
      </c>
      <c r="I157" s="75"/>
      <c r="J157" s="76"/>
      <c r="K157" s="76"/>
      <c r="L157" s="76"/>
      <c r="M157" s="80"/>
      <c r="P157" s="13" t="s">
        <v>14</v>
      </c>
      <c r="Q157" s="55" t="e">
        <f>T61</f>
        <v>#REF!</v>
      </c>
      <c r="R157" s="55"/>
      <c r="T157" s="55" t="e">
        <f>T72</f>
        <v>#REF!</v>
      </c>
      <c r="U157" s="55"/>
      <c r="W157" s="55" t="e">
        <f>+T157-Q157</f>
        <v>#REF!</v>
      </c>
      <c r="X157" s="55"/>
      <c r="Z157" s="145" t="e">
        <f>+H157*Q157/1000</f>
        <v>#REF!</v>
      </c>
      <c r="AA157" s="145"/>
      <c r="AC157" s="81"/>
      <c r="AX157" s="55" t="e">
        <f>ROUND(SUMPRODUCT(H33:H37,H60:H64)+SUMPRODUCT(H42:H44,H69:H71),0)</f>
        <v>#REF!</v>
      </c>
    </row>
    <row r="158" spans="1:51" ht="15" x14ac:dyDescent="0.4">
      <c r="A158" s="22"/>
      <c r="B158" s="77" t="s">
        <v>73</v>
      </c>
      <c r="C158" s="76"/>
      <c r="D158" s="76"/>
      <c r="E158" s="75" t="e">
        <f>+(E136*1000-X171*AVERAGE(E$113,E$114))/R171</f>
        <v>#REF!</v>
      </c>
      <c r="F158" s="75"/>
      <c r="G158" s="75"/>
      <c r="H158" s="75" t="e">
        <f>+(H136*1000-W158*AVERAGE(H$117,H$118))/Q158</f>
        <v>#REF!</v>
      </c>
      <c r="I158" s="75"/>
      <c r="J158" s="76"/>
      <c r="K158" s="76"/>
      <c r="L158" s="76"/>
      <c r="M158" s="80"/>
      <c r="P158" s="13" t="s">
        <v>15</v>
      </c>
      <c r="Q158" s="55" t="e">
        <f>T62</f>
        <v>#REF!</v>
      </c>
      <c r="R158" s="55"/>
      <c r="T158" s="55" t="e">
        <f>T73</f>
        <v>#REF!</v>
      </c>
      <c r="U158" s="55"/>
      <c r="W158" s="55" t="e">
        <f>+T158-Q158</f>
        <v>#REF!</v>
      </c>
      <c r="X158" s="55"/>
      <c r="Z158" s="85" t="e">
        <f>+H158*Q158/1000</f>
        <v>#REF!</v>
      </c>
      <c r="AA158" s="85"/>
      <c r="AC158" s="81"/>
      <c r="AX158" s="55" t="e">
        <f>AX156-AX157</f>
        <v>#REF!</v>
      </c>
    </row>
    <row r="159" spans="1:51" x14ac:dyDescent="0.25">
      <c r="A159" s="22"/>
      <c r="C159" s="143"/>
      <c r="D159" s="143"/>
      <c r="E159" s="144"/>
      <c r="F159" s="144"/>
      <c r="G159" s="144"/>
      <c r="H159" s="144"/>
      <c r="I159" s="144"/>
      <c r="J159" s="143"/>
      <c r="K159" s="143"/>
      <c r="L159" s="143"/>
      <c r="M159" s="143"/>
      <c r="Z159" s="145" t="e">
        <f>+Z158+Z157</f>
        <v>#REF!</v>
      </c>
      <c r="AA159" s="145"/>
      <c r="AC159" s="81" t="e">
        <f>+H134</f>
        <v>#REF!</v>
      </c>
      <c r="AD159" s="81"/>
    </row>
    <row r="160" spans="1:51" x14ac:dyDescent="0.25">
      <c r="A160" s="22"/>
      <c r="B160" s="13" t="s">
        <v>74</v>
      </c>
      <c r="C160" s="74"/>
      <c r="D160" s="74"/>
      <c r="E160" s="75" t="e">
        <f>(E152*SUM(E65:E68)+E156*SUM(E60:E64,E69:E71))/E72</f>
        <v>#REF!</v>
      </c>
      <c r="F160" s="75">
        <f>(F152*SUM(F65:F68)+F156*SUM(F60:F64,F69:F71))/F72</f>
        <v>39.504156847135178</v>
      </c>
      <c r="G160" s="75">
        <f>(G152*SUM(G65:G68)+G156*SUM(G60:G64,G69:G71))/G72</f>
        <v>40.341972673219942</v>
      </c>
      <c r="H160" s="75" t="e">
        <f>(H152*SUM(H65:H68)+H156*SUM(H60:H64,H69:H71))/H72</f>
        <v>#REF!</v>
      </c>
      <c r="I160" s="75">
        <f>(I152*SUM(I65:I68)+I156*SUM(I60:I64,I69:I71))/I72</f>
        <v>35.508530082591093</v>
      </c>
      <c r="J160" s="74"/>
      <c r="K160" s="74"/>
      <c r="L160" s="74"/>
      <c r="M160" s="74"/>
      <c r="AU160" s="55" t="e">
        <f>E72</f>
        <v>#REF!</v>
      </c>
      <c r="AV160" s="55">
        <f>F72</f>
        <v>8947942</v>
      </c>
      <c r="AW160" s="55">
        <f>G72</f>
        <v>5915372</v>
      </c>
      <c r="AX160" s="55" t="e">
        <f>H72</f>
        <v>#REF!</v>
      </c>
      <c r="AY160" s="55">
        <f>I72</f>
        <v>115004</v>
      </c>
    </row>
    <row r="161" spans="1:51" x14ac:dyDescent="0.25">
      <c r="A161" s="22"/>
      <c r="B161" s="13" t="s">
        <v>75</v>
      </c>
      <c r="C161" s="80" t="e">
        <f>+C140/SUM(C72:I72)*1000</f>
        <v>#REF!</v>
      </c>
    </row>
    <row r="162" spans="1:51" x14ac:dyDescent="0.25">
      <c r="A162" s="22"/>
      <c r="Q162" s="26" t="str">
        <f>+$E150</f>
        <v>RT{1}</v>
      </c>
      <c r="R162" s="26"/>
      <c r="S162" s="26"/>
      <c r="T162" s="26" t="str">
        <f>+$E150</f>
        <v>RT{1}</v>
      </c>
      <c r="U162" s="26"/>
      <c r="V162" s="26"/>
      <c r="W162" s="26" t="str">
        <f>+$E150</f>
        <v>RT{1}</v>
      </c>
      <c r="X162" s="26"/>
      <c r="Z162" s="26" t="str">
        <f>+$E150</f>
        <v>RT{1}</v>
      </c>
      <c r="AA162" s="26"/>
      <c r="AC162" s="26" t="str">
        <f>+$E150</f>
        <v>RT{1}</v>
      </c>
    </row>
    <row r="163" spans="1:51" x14ac:dyDescent="0.25">
      <c r="A163" s="22"/>
    </row>
    <row r="164" spans="1:51" x14ac:dyDescent="0.25">
      <c r="A164" s="18" t="s">
        <v>76</v>
      </c>
      <c r="B164" s="16" t="s">
        <v>139</v>
      </c>
      <c r="P164" s="134" t="s">
        <v>25</v>
      </c>
      <c r="Q164" s="38" t="s">
        <v>196</v>
      </c>
      <c r="R164" s="38" t="s">
        <v>192</v>
      </c>
      <c r="T164" s="38" t="s">
        <v>196</v>
      </c>
      <c r="U164" s="38" t="s">
        <v>192</v>
      </c>
      <c r="W164" s="38" t="s">
        <v>196</v>
      </c>
      <c r="X164" s="38" t="s">
        <v>192</v>
      </c>
      <c r="Z164" s="38" t="s">
        <v>197</v>
      </c>
      <c r="AC164" s="38" t="s">
        <v>197</v>
      </c>
    </row>
    <row r="165" spans="1:51" x14ac:dyDescent="0.25">
      <c r="A165" s="22"/>
      <c r="B165" s="17" t="s">
        <v>431</v>
      </c>
      <c r="J165" s="26" t="s">
        <v>413</v>
      </c>
      <c r="K165" s="26"/>
      <c r="P165" s="13" t="s">
        <v>14</v>
      </c>
      <c r="Q165" s="55" t="e">
        <f>SUMPRODUCT(E38:E41,M65:M68)</f>
        <v>#REF!</v>
      </c>
      <c r="R165" s="55" t="e">
        <f>SUMPRODUCT(E38:E41,E65:E68)</f>
        <v>#REF!</v>
      </c>
      <c r="T165" s="55" t="e">
        <f>Q76</f>
        <v>#REF!</v>
      </c>
      <c r="U165" s="55" t="e">
        <f>T165-($Q$167*$Q165/($Q$165+$Q$166))</f>
        <v>#REF!</v>
      </c>
      <c r="W165" s="55" t="e">
        <f>+T165-Q165</f>
        <v>#REF!</v>
      </c>
      <c r="X165" s="55" t="e">
        <f>-Q165+U165</f>
        <v>#REF!</v>
      </c>
      <c r="Z165" s="145" t="e">
        <f>+E153*Q165/1000</f>
        <v>#REF!</v>
      </c>
      <c r="AA165" s="145"/>
      <c r="AU165" s="82" t="e">
        <f>AU152*E152/1000</f>
        <v>#REF!</v>
      </c>
      <c r="AV165" s="82">
        <f>AV152*F152/1000</f>
        <v>74155.806851137429</v>
      </c>
      <c r="AW165" s="82">
        <f>AW152*G152/1000</f>
        <v>42560.937113157983</v>
      </c>
      <c r="AX165" s="82" t="e">
        <f>AX152*H152/1000</f>
        <v>#REF!</v>
      </c>
      <c r="AY165" s="82">
        <f>AY152*I152/1000</f>
        <v>617.35674462623547</v>
      </c>
    </row>
    <row r="166" spans="1:51" ht="15" x14ac:dyDescent="0.4">
      <c r="A166" s="22"/>
      <c r="B166" s="17" t="s">
        <v>77</v>
      </c>
      <c r="C166" s="26"/>
      <c r="D166" s="26"/>
      <c r="E166" s="26" t="str">
        <f>+E$13</f>
        <v>RT{1}</v>
      </c>
      <c r="F166" s="26" t="str">
        <f>+F$13</f>
        <v>RS{2}</v>
      </c>
      <c r="G166" s="26" t="str">
        <f>+G$13</f>
        <v>GS{3}</v>
      </c>
      <c r="H166" s="26" t="str">
        <f>+H$58</f>
        <v>GST {4}</v>
      </c>
      <c r="I166" s="26" t="str">
        <f>+I$13</f>
        <v>OL/SL</v>
      </c>
      <c r="J166" s="26" t="s">
        <v>165</v>
      </c>
      <c r="K166" s="26"/>
      <c r="L166" s="26"/>
      <c r="M166" s="26"/>
      <c r="P166" s="13" t="s">
        <v>15</v>
      </c>
      <c r="Q166" s="55" t="e">
        <f>SUMPRODUCT(Q38:Q41,M65:M68)</f>
        <v>#REF!</v>
      </c>
      <c r="R166" s="203" t="e">
        <f>SUMPRODUCT(Q38:Q41,E65:E68)</f>
        <v>#REF!</v>
      </c>
      <c r="T166" s="55" t="e">
        <f>Q77</f>
        <v>#REF!</v>
      </c>
      <c r="U166" s="55" t="e">
        <f>T166-($Q$167*$Q166/($Q$165+$Q$166))</f>
        <v>#REF!</v>
      </c>
      <c r="W166" s="55" t="e">
        <f>+T166-Q166</f>
        <v>#REF!</v>
      </c>
      <c r="X166" s="55" t="e">
        <f>-Q166+U166</f>
        <v>#REF!</v>
      </c>
      <c r="Z166" s="145" t="e">
        <f>+E154*Q166/1000</f>
        <v>#REF!</v>
      </c>
      <c r="AA166" s="85"/>
      <c r="AU166" s="82"/>
      <c r="AV166" s="82"/>
      <c r="AW166" s="82"/>
      <c r="AX166" s="82" t="e">
        <f>AX153*H153/1000</f>
        <v>#REF!</v>
      </c>
      <c r="AY166" s="82"/>
    </row>
    <row r="167" spans="1:51" ht="15" x14ac:dyDescent="0.4">
      <c r="A167" s="22"/>
      <c r="P167" s="13" t="s">
        <v>191</v>
      </c>
      <c r="Q167" s="203">
        <f>SUM(W65:W68)/1000</f>
        <v>3209.6790000000001</v>
      </c>
      <c r="R167" s="55" t="e">
        <f>SUM(R165:R166)</f>
        <v>#REF!</v>
      </c>
      <c r="T167" s="55">
        <v>0</v>
      </c>
      <c r="U167" s="55">
        <v>0</v>
      </c>
      <c r="W167" s="55">
        <f>+T167-Q167</f>
        <v>-3209.6790000000001</v>
      </c>
      <c r="X167" s="55"/>
      <c r="Z167" s="85" t="e">
        <f>+E152*Q167/1000</f>
        <v>#REF!</v>
      </c>
      <c r="AU167" s="82"/>
      <c r="AV167" s="82"/>
      <c r="AW167" s="82"/>
      <c r="AX167" s="82" t="e">
        <f>AX154*H154/1000</f>
        <v>#REF!</v>
      </c>
      <c r="AY167" s="82"/>
    </row>
    <row r="168" spans="1:51" x14ac:dyDescent="0.25">
      <c r="A168" s="22"/>
      <c r="B168" s="13" t="s">
        <v>78</v>
      </c>
      <c r="C168" s="87"/>
      <c r="D168" s="87"/>
      <c r="E168" s="87" t="e">
        <f>#REF!</f>
        <v>#REF!</v>
      </c>
      <c r="F168" s="87" t="e">
        <f>#REF!</f>
        <v>#REF!</v>
      </c>
      <c r="G168" s="87" t="e">
        <f>#REF!</f>
        <v>#REF!</v>
      </c>
      <c r="H168" s="87" t="e">
        <f>#REF!</f>
        <v>#REF!</v>
      </c>
      <c r="I168" s="87" t="e">
        <f>#REF!</f>
        <v>#REF!</v>
      </c>
      <c r="J168" s="87" t="e">
        <f>SUM(E168:I168)</f>
        <v>#REF!</v>
      </c>
      <c r="K168" s="87"/>
      <c r="L168" s="87"/>
      <c r="M168" s="87"/>
      <c r="Q168" s="55" t="e">
        <f>SUM(Q165:Q167)</f>
        <v>#REF!</v>
      </c>
      <c r="Z168" s="145" t="e">
        <f>SUM(Z165:Z167)</f>
        <v>#REF!</v>
      </c>
      <c r="AA168" s="145"/>
      <c r="AC168" s="81" t="e">
        <f>+E130</f>
        <v>#REF!</v>
      </c>
      <c r="AU168" s="82" t="e">
        <f>AU156*E156/1000</f>
        <v>#REF!</v>
      </c>
      <c r="AV168" s="82">
        <f>AV156*F156/1000</f>
        <v>284829.92367337644</v>
      </c>
      <c r="AW168" s="82">
        <f>AW156*G156/1000</f>
        <v>198968.17311340102</v>
      </c>
      <c r="AX168" s="82" t="e">
        <f>AX156*H156/1000</f>
        <v>#REF!</v>
      </c>
      <c r="AY168" s="82">
        <f>AY156*I156/1000</f>
        <v>3560.4114435122101</v>
      </c>
    </row>
    <row r="169" spans="1:51" x14ac:dyDescent="0.25">
      <c r="A169" s="22"/>
      <c r="F169" s="13" t="e">
        <f>F168/J168</f>
        <v>#REF!</v>
      </c>
      <c r="G169" s="13" t="e">
        <f>G168/J168</f>
        <v>#REF!</v>
      </c>
      <c r="P169" s="134" t="s">
        <v>26</v>
      </c>
      <c r="Q169" s="55"/>
      <c r="R169" s="55"/>
      <c r="T169" s="55"/>
      <c r="U169" s="55"/>
      <c r="W169" s="55"/>
      <c r="X169" s="55"/>
      <c r="AU169" s="82"/>
      <c r="AV169" s="82"/>
      <c r="AW169" s="82"/>
      <c r="AX169" s="82" t="e">
        <f>AX157*H157/1000</f>
        <v>#REF!</v>
      </c>
      <c r="AY169" s="82"/>
    </row>
    <row r="170" spans="1:51" x14ac:dyDescent="0.25">
      <c r="A170" s="22"/>
      <c r="K170" s="86"/>
      <c r="L170" s="86"/>
      <c r="M170" s="86"/>
      <c r="P170" s="13" t="s">
        <v>14</v>
      </c>
      <c r="Q170" s="55" t="e">
        <f>SUMPRODUCT(E33:E37,M60:M64)+SUMPRODUCT(E42:E44,M69:M71)</f>
        <v>#REF!</v>
      </c>
      <c r="R170" s="55" t="e">
        <f>SUMPRODUCT(E33:E37,E60:E64)+SUMPRODUCT(E42:E44,E69:E71)</f>
        <v>#REF!</v>
      </c>
      <c r="T170" s="55" t="e">
        <f>Q72</f>
        <v>#REF!</v>
      </c>
      <c r="U170" s="55" t="e">
        <f>T170-($Q$172*$Q170/($Q$170+$Q$171))</f>
        <v>#REF!</v>
      </c>
      <c r="W170" s="55" t="e">
        <f>+T170-Q170</f>
        <v>#REF!</v>
      </c>
      <c r="X170" s="55" t="e">
        <f>-Q170+U170</f>
        <v>#REF!</v>
      </c>
      <c r="Z170" s="145" t="e">
        <f>+E157*Q170/1000</f>
        <v>#REF!</v>
      </c>
      <c r="AA170" s="145"/>
      <c r="AC170" s="81"/>
      <c r="AU170" s="82"/>
      <c r="AV170" s="82"/>
      <c r="AW170" s="82"/>
      <c r="AX170" s="82" t="e">
        <f>AX158*H158/1000</f>
        <v>#REF!</v>
      </c>
      <c r="AY170" s="82"/>
    </row>
    <row r="171" spans="1:51" ht="15" x14ac:dyDescent="0.4">
      <c r="A171" s="22"/>
      <c r="B171" s="13" t="s">
        <v>79</v>
      </c>
      <c r="C171" s="88" t="s">
        <v>80</v>
      </c>
      <c r="D171" s="86"/>
      <c r="E171" s="67"/>
      <c r="F171" s="67"/>
      <c r="G171" s="67"/>
      <c r="H171" s="67"/>
      <c r="I171" s="86"/>
      <c r="J171" s="86"/>
      <c r="K171" s="86"/>
      <c r="L171" s="86"/>
      <c r="M171" s="86"/>
      <c r="P171" s="13" t="s">
        <v>15</v>
      </c>
      <c r="Q171" s="55" t="e">
        <f>SUMPRODUCT(Q33:Q37,M60:M64)+SUMPRODUCT(Q42:Q44,M69:M71)</f>
        <v>#REF!</v>
      </c>
      <c r="R171" s="203" t="e">
        <f>SUMPRODUCT(Q33:Q37,E60:E64)+SUMPRODUCT(Q42:Q44,E69:E71)</f>
        <v>#REF!</v>
      </c>
      <c r="T171" s="55" t="e">
        <f>Q73</f>
        <v>#REF!</v>
      </c>
      <c r="U171" s="55" t="e">
        <f>T171-($Q$172*$Q171/($Q$170+$Q$171))</f>
        <v>#REF!</v>
      </c>
      <c r="W171" s="55" t="e">
        <f>+T171-Q171</f>
        <v>#REF!</v>
      </c>
      <c r="X171" s="55" t="e">
        <f>-Q171+U171</f>
        <v>#REF!</v>
      </c>
      <c r="Z171" s="145" t="e">
        <f>+E158*Q171/1000</f>
        <v>#REF!</v>
      </c>
      <c r="AA171" s="85"/>
      <c r="AC171" s="81"/>
      <c r="AU171" s="82"/>
      <c r="AV171" s="82"/>
      <c r="AW171" s="82"/>
      <c r="AX171" s="82"/>
      <c r="AY171" s="82"/>
    </row>
    <row r="172" spans="1:51" ht="15" x14ac:dyDescent="0.4">
      <c r="A172" s="22"/>
      <c r="B172" s="13" t="s">
        <v>81</v>
      </c>
      <c r="I172" s="86"/>
      <c r="J172" s="86"/>
      <c r="K172" s="86"/>
      <c r="L172" s="86"/>
      <c r="M172" s="86"/>
      <c r="P172" s="13" t="s">
        <v>191</v>
      </c>
      <c r="Q172" s="203">
        <f>SUM(W60:W64,W69:W71)/1000</f>
        <v>6489.4269999999997</v>
      </c>
      <c r="R172" s="55" t="e">
        <f>SUM(R170:R171)</f>
        <v>#REF!</v>
      </c>
      <c r="T172" s="13">
        <v>0</v>
      </c>
      <c r="U172" s="55">
        <v>0</v>
      </c>
      <c r="W172" s="55">
        <f>+T172-Q172</f>
        <v>-6489.4269999999997</v>
      </c>
      <c r="X172" s="55"/>
      <c r="Z172" s="85" t="e">
        <f>+E156*Q172/1000</f>
        <v>#REF!</v>
      </c>
      <c r="AU172" s="82" t="e">
        <f>AU160*E160/1000</f>
        <v>#REF!</v>
      </c>
      <c r="AV172" s="82">
        <f>AV160*F160/1000</f>
        <v>353480.90422706841</v>
      </c>
      <c r="AW172" s="82">
        <f>AW160*G160/1000</f>
        <v>238637.7755759304</v>
      </c>
      <c r="AX172" s="82" t="e">
        <f>AX160*H160/1000</f>
        <v>#REF!</v>
      </c>
      <c r="AY172" s="82">
        <f>AY160*I160/1000</f>
        <v>4083.6229936183063</v>
      </c>
    </row>
    <row r="173" spans="1:51" x14ac:dyDescent="0.25">
      <c r="A173" s="22"/>
      <c r="D173" s="89" t="s">
        <v>82</v>
      </c>
      <c r="E173" s="137">
        <v>122</v>
      </c>
      <c r="G173" s="89" t="s">
        <v>83</v>
      </c>
      <c r="H173" s="90">
        <v>4</v>
      </c>
      <c r="I173" s="86"/>
      <c r="J173" s="86"/>
      <c r="K173" s="86"/>
      <c r="L173" s="86"/>
      <c r="M173" s="278"/>
      <c r="N173" s="279"/>
      <c r="Q173" s="162" t="e">
        <f>SUM(Q170:Q172)</f>
        <v>#REF!</v>
      </c>
      <c r="R173" s="26"/>
      <c r="S173" s="26"/>
      <c r="T173" s="26"/>
      <c r="U173" s="26"/>
      <c r="V173" s="26"/>
      <c r="W173" s="26"/>
      <c r="X173" s="26"/>
      <c r="Z173" s="145" t="e">
        <f>SUM(Z170:Z172)</f>
        <v>#REF!</v>
      </c>
      <c r="AA173" s="145"/>
      <c r="AC173" s="81" t="e">
        <f>+E134</f>
        <v>#REF!</v>
      </c>
      <c r="AU173" s="81" t="e">
        <f>AU172-AU165-AU168</f>
        <v>#REF!</v>
      </c>
      <c r="AV173" s="81">
        <f>AV172-AV165-AV168</f>
        <v>-5504.8262974454556</v>
      </c>
      <c r="AW173" s="81">
        <f>AW172-AW165-AW168</f>
        <v>-2891.3346506285889</v>
      </c>
      <c r="AX173" s="81" t="e">
        <f>AX172-AX165-AX168</f>
        <v>#REF!</v>
      </c>
      <c r="AY173" s="81">
        <f>AY172-AY165-AY168</f>
        <v>-94.145194520139285</v>
      </c>
    </row>
    <row r="174" spans="1:51" ht="15" x14ac:dyDescent="0.4">
      <c r="A174" s="22"/>
      <c r="D174" s="91" t="s">
        <v>84</v>
      </c>
      <c r="E174" s="90">
        <f>31+30+31+31+28+31+30+31</f>
        <v>243</v>
      </c>
      <c r="G174" s="91" t="s">
        <v>85</v>
      </c>
      <c r="H174" s="90">
        <v>8</v>
      </c>
      <c r="I174" s="86"/>
      <c r="J174" s="86"/>
      <c r="K174" s="86"/>
      <c r="L174" s="86"/>
      <c r="M174" s="278"/>
      <c r="N174" s="279"/>
      <c r="Q174" s="55"/>
      <c r="R174" s="55"/>
      <c r="T174" s="55"/>
      <c r="U174" s="55"/>
      <c r="W174" s="55"/>
      <c r="X174" s="55"/>
      <c r="Z174" s="85"/>
      <c r="AA174" s="85"/>
      <c r="AX174" s="81" t="e">
        <f>SUM(AX166:AX167)+SUM(AX169:AX170)</f>
        <v>#REF!</v>
      </c>
    </row>
    <row r="175" spans="1:51" x14ac:dyDescent="0.25">
      <c r="A175" s="22"/>
      <c r="D175" s="293"/>
      <c r="E175" s="293"/>
      <c r="F175" s="294"/>
      <c r="G175" s="89" t="s">
        <v>86</v>
      </c>
      <c r="H175" s="13">
        <f>+H173+H174</f>
        <v>12</v>
      </c>
      <c r="I175" s="86"/>
      <c r="J175" s="86"/>
      <c r="K175" s="86"/>
      <c r="L175" s="86"/>
      <c r="M175" s="86"/>
      <c r="N175" s="86"/>
      <c r="O175" s="87" t="s">
        <v>256</v>
      </c>
      <c r="Q175" s="55"/>
      <c r="R175" s="55"/>
      <c r="T175" s="55"/>
      <c r="U175" s="55"/>
      <c r="W175" s="55"/>
      <c r="X175" s="55"/>
      <c r="Z175" s="145"/>
      <c r="AA175" s="145"/>
      <c r="AC175" s="81" t="e">
        <f>SUM(AC168:AC173)</f>
        <v>#REF!</v>
      </c>
    </row>
    <row r="176" spans="1:51" x14ac:dyDescent="0.25">
      <c r="A176" s="22"/>
      <c r="B176" s="21" t="s">
        <v>158</v>
      </c>
      <c r="C176" s="92"/>
      <c r="D176" s="93"/>
      <c r="L176" s="94"/>
      <c r="N176" s="280" t="s">
        <v>256</v>
      </c>
      <c r="Q176" s="55"/>
      <c r="R176" s="55"/>
      <c r="T176" s="55"/>
      <c r="U176" s="55"/>
      <c r="W176" s="55"/>
      <c r="X176" s="55"/>
      <c r="Z176" s="145"/>
      <c r="AA176" s="145"/>
      <c r="AC176" s="81"/>
    </row>
    <row r="177" spans="1:50" x14ac:dyDescent="0.25">
      <c r="A177" s="22"/>
      <c r="B177" s="406" t="s">
        <v>393</v>
      </c>
      <c r="C177" s="92"/>
      <c r="D177" s="458">
        <v>0</v>
      </c>
      <c r="E177" s="93" t="s">
        <v>88</v>
      </c>
      <c r="G177" s="413" t="s">
        <v>394</v>
      </c>
      <c r="H177" s="84" t="e">
        <f>D177*J168*(E173+E174)</f>
        <v>#REF!</v>
      </c>
      <c r="L177" s="94"/>
      <c r="Q177" s="55"/>
      <c r="R177" s="55"/>
      <c r="T177" s="55"/>
      <c r="U177" s="55"/>
      <c r="W177" s="55"/>
      <c r="X177" s="55"/>
      <c r="Z177" s="145"/>
      <c r="AA177" s="145"/>
      <c r="AC177" s="81"/>
    </row>
    <row r="178" spans="1:50" x14ac:dyDescent="0.25">
      <c r="A178" s="22"/>
      <c r="Q178" s="55"/>
      <c r="R178" s="55"/>
      <c r="T178" s="55"/>
      <c r="U178" s="55"/>
      <c r="W178" s="55"/>
      <c r="X178" s="55"/>
      <c r="Z178" s="145"/>
      <c r="AA178" s="145"/>
      <c r="AC178" s="81"/>
    </row>
    <row r="179" spans="1:50" ht="15" x14ac:dyDescent="0.4">
      <c r="A179" s="22"/>
      <c r="B179" s="21" t="s">
        <v>87</v>
      </c>
      <c r="C179" s="13" t="s">
        <v>25</v>
      </c>
      <c r="D179" s="11">
        <v>147.61390395760486</v>
      </c>
      <c r="E179" s="93" t="s">
        <v>88</v>
      </c>
      <c r="G179" s="89" t="s">
        <v>162</v>
      </c>
      <c r="H179" s="81" t="e">
        <f>ROUND(D179*E173*J$168,0)</f>
        <v>#REF!</v>
      </c>
      <c r="I179" s="89"/>
      <c r="J179" s="89"/>
      <c r="K179" s="89"/>
      <c r="L179" s="143"/>
      <c r="Q179" s="55"/>
      <c r="R179" s="55"/>
      <c r="T179" s="55"/>
      <c r="U179" s="55"/>
      <c r="W179" s="55"/>
      <c r="X179" s="55"/>
      <c r="Z179" s="85"/>
      <c r="AA179" s="85"/>
      <c r="AC179" s="81"/>
    </row>
    <row r="180" spans="1:50" ht="15" x14ac:dyDescent="0.4">
      <c r="A180" s="22"/>
      <c r="B180" s="21"/>
      <c r="C180" s="13" t="s">
        <v>26</v>
      </c>
      <c r="D180" s="411">
        <f>D179</f>
        <v>147.61390395760486</v>
      </c>
      <c r="E180" s="93" t="s">
        <v>88</v>
      </c>
      <c r="G180" s="122" t="s">
        <v>163</v>
      </c>
      <c r="H180" s="123" t="e">
        <f>ROUND(D180*E174*J$168,0)</f>
        <v>#REF!</v>
      </c>
      <c r="I180" s="89"/>
      <c r="J180" s="89"/>
      <c r="K180" s="89"/>
      <c r="L180" s="143"/>
      <c r="P180" s="406" t="s">
        <v>410</v>
      </c>
      <c r="Z180" s="145"/>
      <c r="AA180" s="145"/>
      <c r="AC180" s="81"/>
    </row>
    <row r="181" spans="1:50" x14ac:dyDescent="0.25">
      <c r="A181" s="22"/>
      <c r="B181" s="537" t="s">
        <v>425</v>
      </c>
      <c r="C181" s="537"/>
      <c r="D181" s="537"/>
      <c r="E181" s="537"/>
      <c r="F181" s="537"/>
      <c r="G181" s="89" t="s">
        <v>164</v>
      </c>
      <c r="H181" s="81" t="e">
        <f>SUM(H179:H180)</f>
        <v>#REF!</v>
      </c>
      <c r="I181" s="89"/>
      <c r="J181" s="89"/>
      <c r="K181" s="89"/>
      <c r="L181" s="143"/>
      <c r="O181" s="13">
        <v>2015</v>
      </c>
      <c r="P181" s="435" t="e">
        <f>E72</f>
        <v>#REF!</v>
      </c>
      <c r="Q181" s="435">
        <f>F72</f>
        <v>8947942</v>
      </c>
      <c r="R181" s="435">
        <f>G72</f>
        <v>5915372</v>
      </c>
      <c r="S181" s="435" t="e">
        <f>H72</f>
        <v>#REF!</v>
      </c>
      <c r="T181" s="435">
        <f>I72</f>
        <v>115004</v>
      </c>
      <c r="U181" s="435" t="e">
        <f>SUM(P181:T181)</f>
        <v>#REF!</v>
      </c>
    </row>
    <row r="182" spans="1:50" x14ac:dyDescent="0.25">
      <c r="A182" s="22"/>
      <c r="B182" s="537"/>
      <c r="C182" s="537"/>
      <c r="D182" s="537"/>
      <c r="E182" s="537"/>
      <c r="F182" s="537"/>
      <c r="G182" s="89"/>
      <c r="H182" s="81"/>
      <c r="I182" s="89"/>
      <c r="J182" s="89"/>
      <c r="K182" s="89"/>
      <c r="L182" s="143"/>
      <c r="P182" s="435"/>
      <c r="Q182" s="435"/>
      <c r="R182" s="435"/>
      <c r="S182" s="435"/>
      <c r="T182" s="435"/>
      <c r="U182" s="435"/>
    </row>
    <row r="183" spans="1:50" x14ac:dyDescent="0.25">
      <c r="A183" s="22"/>
      <c r="B183" s="537"/>
      <c r="C183" s="537"/>
      <c r="D183" s="537"/>
      <c r="E183" s="537"/>
      <c r="F183" s="537"/>
      <c r="G183" s="89"/>
      <c r="H183" s="81"/>
      <c r="I183" s="89"/>
      <c r="J183" s="89"/>
      <c r="K183" s="89"/>
      <c r="L183" s="143"/>
      <c r="P183" s="435"/>
      <c r="Q183" s="435"/>
      <c r="R183" s="435"/>
      <c r="S183" s="435"/>
      <c r="T183" s="435"/>
      <c r="U183" s="435"/>
    </row>
    <row r="184" spans="1:50" x14ac:dyDescent="0.25">
      <c r="A184" s="22"/>
      <c r="B184" s="21"/>
      <c r="D184" s="11"/>
      <c r="E184" s="93"/>
      <c r="G184" s="89"/>
      <c r="H184" s="81"/>
      <c r="I184" s="89"/>
      <c r="J184" s="89"/>
      <c r="K184" s="89"/>
      <c r="L184" s="143"/>
      <c r="P184" s="435"/>
      <c r="Q184" s="435"/>
      <c r="R184" s="435"/>
      <c r="S184" s="435"/>
      <c r="T184" s="435"/>
      <c r="U184" s="435"/>
    </row>
    <row r="185" spans="1:50" x14ac:dyDescent="0.25">
      <c r="A185" s="22"/>
      <c r="B185" s="13" t="s">
        <v>153</v>
      </c>
      <c r="I185" s="89"/>
      <c r="J185" s="89"/>
      <c r="K185" s="89"/>
      <c r="L185" s="143"/>
      <c r="O185" s="13">
        <v>2014</v>
      </c>
      <c r="P185" s="435">
        <v>300812</v>
      </c>
      <c r="Q185" s="435">
        <v>9139433</v>
      </c>
      <c r="R185" s="435">
        <v>6011880</v>
      </c>
      <c r="S185" s="435">
        <v>242920</v>
      </c>
      <c r="T185" s="435">
        <v>114222</v>
      </c>
      <c r="U185" s="435">
        <f>SUM(P185:T185)</f>
        <v>15809267</v>
      </c>
    </row>
    <row r="186" spans="1:50" x14ac:dyDescent="0.25">
      <c r="A186" s="22"/>
      <c r="B186" s="17" t="s">
        <v>154</v>
      </c>
      <c r="I186" s="89"/>
      <c r="J186" s="89"/>
      <c r="K186" s="89"/>
      <c r="L186" s="143"/>
      <c r="O186" s="13">
        <v>2013</v>
      </c>
      <c r="P186" s="435">
        <v>298034</v>
      </c>
      <c r="Q186" s="435">
        <v>8751355</v>
      </c>
      <c r="R186" s="435">
        <v>5786197</v>
      </c>
      <c r="S186" s="435">
        <v>228915</v>
      </c>
      <c r="T186" s="435">
        <v>115314</v>
      </c>
      <c r="U186" s="435">
        <f>SUM(P186:T186)</f>
        <v>15179815</v>
      </c>
    </row>
    <row r="187" spans="1:50" x14ac:dyDescent="0.25">
      <c r="A187" s="22"/>
      <c r="B187" s="17"/>
      <c r="C187" s="105" t="str">
        <f>" ---------- Rate "&amp;C30&amp;" ----------"</f>
        <v xml:space="preserve"> ---------- Rate  ----------</v>
      </c>
      <c r="D187" s="106"/>
      <c r="E187" s="106"/>
      <c r="I187" s="89"/>
      <c r="J187" s="89"/>
      <c r="K187" s="89"/>
      <c r="L187" s="143"/>
      <c r="P187" s="292" t="e">
        <f t="shared" ref="P187:U187" si="18">(P181-P185)/P185</f>
        <v>#REF!</v>
      </c>
      <c r="Q187" s="292">
        <f t="shared" si="18"/>
        <v>-2.0952175041930938E-2</v>
      </c>
      <c r="R187" s="292">
        <f t="shared" si="18"/>
        <v>-1.6052881960385103E-2</v>
      </c>
      <c r="S187" s="292" t="e">
        <f t="shared" si="18"/>
        <v>#REF!</v>
      </c>
      <c r="T187" s="292">
        <f t="shared" si="18"/>
        <v>6.846316821628058E-3</v>
      </c>
      <c r="U187" s="292" t="e">
        <f t="shared" si="18"/>
        <v>#REF!</v>
      </c>
    </row>
    <row r="188" spans="1:50" x14ac:dyDescent="0.25">
      <c r="A188" s="22"/>
      <c r="C188" s="38" t="s">
        <v>140</v>
      </c>
      <c r="E188" s="38" t="s">
        <v>141</v>
      </c>
      <c r="I188" s="89"/>
      <c r="J188" s="89"/>
      <c r="K188" s="89"/>
      <c r="L188" s="143"/>
      <c r="P188" s="292" t="e">
        <f t="shared" ref="P188:U188" si="19">(P181-P186)/P186</f>
        <v>#REF!</v>
      </c>
      <c r="Q188" s="292">
        <f t="shared" si="19"/>
        <v>2.2463607064277476E-2</v>
      </c>
      <c r="R188" s="292">
        <f t="shared" si="19"/>
        <v>2.2324680614918574E-2</v>
      </c>
      <c r="S188" s="292" t="e">
        <f t="shared" si="19"/>
        <v>#REF!</v>
      </c>
      <c r="T188" s="292">
        <f t="shared" si="19"/>
        <v>-2.6883119135577638E-3</v>
      </c>
      <c r="U188" s="292" t="e">
        <f t="shared" si="19"/>
        <v>#REF!</v>
      </c>
    </row>
    <row r="189" spans="1:50" x14ac:dyDescent="0.25">
      <c r="A189" s="22"/>
      <c r="B189" s="89" t="s">
        <v>142</v>
      </c>
      <c r="C189" s="107"/>
      <c r="E189" s="118">
        <f>SUM(R65/(R65+R66))</f>
        <v>0.52638103318882978</v>
      </c>
      <c r="F189" s="112"/>
      <c r="I189" s="89"/>
      <c r="J189" s="89"/>
      <c r="K189" s="89"/>
      <c r="L189" s="143"/>
      <c r="AX189" s="118">
        <f>(37892894+37550803+37185127+37530967+385012043+415293692+408537249+370243592)/(37892894+37550803+37185127+37530967+385012043+415293692+408537249+370243592+28757462+38416028+35549073+25251802+243248593+403536675+352244990+172217638)</f>
        <v>0.5709969556930804</v>
      </c>
    </row>
    <row r="190" spans="1:50" x14ac:dyDescent="0.25">
      <c r="A190" s="22"/>
      <c r="B190" s="89" t="s">
        <v>144</v>
      </c>
      <c r="C190" s="108"/>
      <c r="E190" s="109">
        <f>1-E189</f>
        <v>0.47361896681117022</v>
      </c>
      <c r="G190" s="53"/>
      <c r="I190" s="89"/>
      <c r="J190" s="89"/>
      <c r="K190" s="89"/>
      <c r="L190" s="143"/>
    </row>
    <row r="191" spans="1:50" x14ac:dyDescent="0.25">
      <c r="A191" s="22"/>
      <c r="B191" s="110" t="s">
        <v>155</v>
      </c>
      <c r="C191" s="111">
        <v>0.86519999999999997</v>
      </c>
      <c r="D191" s="13" t="s">
        <v>143</v>
      </c>
      <c r="J191" s="89"/>
      <c r="K191" s="89"/>
      <c r="L191" s="143"/>
      <c r="P191" s="406" t="s">
        <v>411</v>
      </c>
    </row>
    <row r="192" spans="1:50" x14ac:dyDescent="0.25">
      <c r="A192" s="13"/>
      <c r="J192" s="89"/>
      <c r="K192" s="89"/>
      <c r="L192" s="143"/>
      <c r="P192" s="87" t="e">
        <f>E168</f>
        <v>#REF!</v>
      </c>
      <c r="Q192" s="87" t="e">
        <f>F168</f>
        <v>#REF!</v>
      </c>
      <c r="R192" s="87" t="e">
        <f>G168</f>
        <v>#REF!</v>
      </c>
      <c r="S192" s="87" t="e">
        <f>H168</f>
        <v>#REF!</v>
      </c>
      <c r="T192" s="87" t="e">
        <f>I168</f>
        <v>#REF!</v>
      </c>
      <c r="U192" s="434" t="e">
        <f>SUM(P192:T192)</f>
        <v>#REF!</v>
      </c>
    </row>
    <row r="193" spans="1:21" x14ac:dyDescent="0.25">
      <c r="A193" s="18" t="s">
        <v>89</v>
      </c>
      <c r="B193" s="16" t="s">
        <v>90</v>
      </c>
      <c r="O193" s="13">
        <v>2014</v>
      </c>
      <c r="P193" s="13">
        <v>103.3</v>
      </c>
      <c r="Q193" s="434">
        <v>3286</v>
      </c>
      <c r="R193" s="434">
        <v>1769</v>
      </c>
      <c r="S193" s="434">
        <v>44.1</v>
      </c>
      <c r="T193" s="434">
        <v>2</v>
      </c>
      <c r="U193" s="434">
        <f>SUM(P193:T193)</f>
        <v>5204.4000000000005</v>
      </c>
    </row>
    <row r="194" spans="1:21" x14ac:dyDescent="0.25">
      <c r="A194" s="18"/>
      <c r="B194" s="17" t="s">
        <v>445</v>
      </c>
      <c r="F194" s="468">
        <v>2</v>
      </c>
      <c r="G194" s="13" t="s">
        <v>92</v>
      </c>
      <c r="Q194" s="434"/>
      <c r="R194" s="434"/>
      <c r="S194" s="434"/>
      <c r="T194" s="434"/>
      <c r="U194" s="434"/>
    </row>
    <row r="195" spans="1:21" x14ac:dyDescent="0.25">
      <c r="A195" s="18"/>
      <c r="B195" s="17" t="s">
        <v>443</v>
      </c>
      <c r="F195" s="469">
        <v>10.67</v>
      </c>
      <c r="G195" s="13" t="s">
        <v>92</v>
      </c>
      <c r="Q195" s="434"/>
      <c r="R195" s="434"/>
      <c r="S195" s="434"/>
      <c r="T195" s="434"/>
      <c r="U195" s="434"/>
    </row>
    <row r="196" spans="1:21" x14ac:dyDescent="0.25">
      <c r="A196" s="22"/>
      <c r="B196" s="17" t="s">
        <v>444</v>
      </c>
      <c r="F196" s="466">
        <f>F194+F195</f>
        <v>12.67</v>
      </c>
      <c r="G196" s="13" t="s">
        <v>92</v>
      </c>
      <c r="P196" s="418" t="e">
        <f>(P192-P193)/P193</f>
        <v>#REF!</v>
      </c>
      <c r="Q196" s="418" t="e">
        <f t="shared" ref="Q196:U196" si="20">(Q192-Q193)/Q193</f>
        <v>#REF!</v>
      </c>
      <c r="R196" s="418" t="e">
        <f t="shared" si="20"/>
        <v>#REF!</v>
      </c>
      <c r="S196" s="418" t="e">
        <f t="shared" si="20"/>
        <v>#REF!</v>
      </c>
      <c r="T196" s="418" t="e">
        <f t="shared" si="20"/>
        <v>#REF!</v>
      </c>
      <c r="U196" s="418" t="e">
        <f t="shared" si="20"/>
        <v>#REF!</v>
      </c>
    </row>
    <row r="197" spans="1:21" x14ac:dyDescent="0.25">
      <c r="A197" s="22"/>
      <c r="B197" s="17"/>
      <c r="F197" s="93"/>
    </row>
    <row r="198" spans="1:21" x14ac:dyDescent="0.25">
      <c r="A198" s="22"/>
      <c r="B198" s="16"/>
      <c r="E198" s="92"/>
      <c r="F198" s="93"/>
    </row>
    <row r="199" spans="1:21" x14ac:dyDescent="0.25">
      <c r="A199" s="18" t="s">
        <v>93</v>
      </c>
      <c r="B199" s="16" t="s">
        <v>167</v>
      </c>
    </row>
    <row r="200" spans="1:21" x14ac:dyDescent="0.25">
      <c r="A200" s="18"/>
      <c r="B200" s="16"/>
    </row>
    <row r="201" spans="1:21" x14ac:dyDescent="0.25">
      <c r="A201" s="18"/>
      <c r="B201" s="16"/>
      <c r="C201" s="26"/>
      <c r="D201" s="26"/>
      <c r="E201" s="26" t="str">
        <f>+E$13</f>
        <v>RT{1}</v>
      </c>
      <c r="F201" s="26" t="str">
        <f>+F$13</f>
        <v>RS{2}</v>
      </c>
      <c r="G201" s="26" t="str">
        <f>+G$13</f>
        <v>GS{3}</v>
      </c>
      <c r="H201" s="156" t="str">
        <f>+H$58</f>
        <v>GST {4}</v>
      </c>
      <c r="I201" s="26" t="str">
        <f>+I$13</f>
        <v>OL/SL</v>
      </c>
      <c r="J201" s="26"/>
      <c r="K201" s="26"/>
    </row>
    <row r="202" spans="1:21" x14ac:dyDescent="0.25">
      <c r="A202" s="18"/>
      <c r="B202" s="16"/>
    </row>
    <row r="203" spans="1:21" x14ac:dyDescent="0.25">
      <c r="A203" s="22"/>
      <c r="B203" s="89" t="s">
        <v>94</v>
      </c>
      <c r="C203" s="146"/>
      <c r="D203" s="146"/>
      <c r="E203" s="147">
        <v>3.8420000000000001</v>
      </c>
      <c r="F203" s="147">
        <v>4.6269999999999998</v>
      </c>
      <c r="G203" s="147">
        <v>4.6150000000000002</v>
      </c>
      <c r="H203" s="147">
        <v>3.69</v>
      </c>
      <c r="I203" s="147">
        <v>3.508</v>
      </c>
      <c r="J203" s="146"/>
      <c r="K203" s="146"/>
      <c r="L203" s="146"/>
      <c r="M203" s="146"/>
    </row>
    <row r="204" spans="1:21" x14ac:dyDescent="0.25">
      <c r="A204" s="22"/>
      <c r="B204" s="89"/>
      <c r="C204" s="146"/>
      <c r="D204" s="146"/>
      <c r="E204" s="146"/>
      <c r="F204" s="146"/>
      <c r="G204" s="146"/>
      <c r="H204" s="146"/>
      <c r="I204" s="146"/>
      <c r="J204" s="146"/>
      <c r="K204" s="146"/>
      <c r="L204" s="146"/>
      <c r="M204" s="146"/>
    </row>
    <row r="205" spans="1:21" x14ac:dyDescent="0.25">
      <c r="A205" s="22"/>
      <c r="B205" s="89" t="s">
        <v>131</v>
      </c>
      <c r="C205" s="146"/>
      <c r="D205" s="146"/>
      <c r="E205" s="147" t="e">
        <f>$H$181*(E$168/$J$168)/E$72</f>
        <v>#REF!</v>
      </c>
      <c r="F205" s="147" t="e">
        <f>$H$181*(F$168/$J$168)/F$72</f>
        <v>#REF!</v>
      </c>
      <c r="G205" s="147" t="e">
        <f>$H$181*(G$168/$J$168)/G$72</f>
        <v>#REF!</v>
      </c>
      <c r="H205" s="147" t="e">
        <f>$H$181*(H$168/$J$168)/H$72</f>
        <v>#REF!</v>
      </c>
      <c r="I205" s="147" t="e">
        <f>$H$181*(I$168/$J$168)/I$72</f>
        <v>#REF!</v>
      </c>
      <c r="J205" s="146"/>
      <c r="K205" s="146"/>
      <c r="L205" s="146"/>
      <c r="M205" s="146"/>
    </row>
    <row r="206" spans="1:21" x14ac:dyDescent="0.25">
      <c r="A206" s="22"/>
      <c r="B206" s="89" t="s">
        <v>198</v>
      </c>
      <c r="C206" s="146"/>
      <c r="D206" s="146"/>
      <c r="E206" s="147" t="e">
        <f>$H$179*(E$168/$J$168)/SUM(E65:E68)</f>
        <v>#REF!</v>
      </c>
      <c r="F206" s="147" t="e">
        <f>$H$179*(F$168/$J$168)/SUM(F65:F68)</f>
        <v>#REF!</v>
      </c>
      <c r="G206" s="147" t="e">
        <f>$H$179*(G$168/$J$168)/SUM(G65:G68)</f>
        <v>#REF!</v>
      </c>
      <c r="H206" s="147"/>
      <c r="I206" s="147" t="e">
        <f>$H$179*(I$168/$J$168)/SUM(I65:I68)</f>
        <v>#REF!</v>
      </c>
      <c r="J206" s="146"/>
      <c r="K206" s="146"/>
      <c r="L206" s="146"/>
      <c r="M206" s="146"/>
    </row>
    <row r="207" spans="1:21" x14ac:dyDescent="0.25">
      <c r="A207" s="22"/>
      <c r="B207" s="89" t="s">
        <v>199</v>
      </c>
      <c r="C207" s="146"/>
      <c r="D207" s="146"/>
      <c r="E207" s="147" t="e">
        <f>$H$179*(E$168/$J$168)/R165</f>
        <v>#REF!</v>
      </c>
      <c r="F207" s="147"/>
      <c r="G207" s="147"/>
      <c r="H207" s="147" t="e">
        <f>$H$179*(H$168/$J$168)/Q153</f>
        <v>#REF!</v>
      </c>
      <c r="I207" s="147"/>
      <c r="J207" s="146"/>
      <c r="K207" s="146"/>
      <c r="L207" s="146"/>
      <c r="M207" s="241"/>
    </row>
    <row r="208" spans="1:21" x14ac:dyDescent="0.25">
      <c r="A208" s="22"/>
      <c r="B208" s="89" t="s">
        <v>201</v>
      </c>
      <c r="C208" s="146"/>
      <c r="D208" s="146"/>
      <c r="E208" s="147" t="e">
        <f>$H$180*(E$168/$J$168)/(E72-SUM(E65:E68))</f>
        <v>#REF!</v>
      </c>
      <c r="F208" s="147" t="e">
        <f>$H$180*(F$168/$J$168)/(F72-SUM(F65:F68))</f>
        <v>#REF!</v>
      </c>
      <c r="G208" s="147" t="e">
        <f>$H$180*(G$168/$J$168)/(G72-SUM(G65:G68))</f>
        <v>#REF!</v>
      </c>
      <c r="H208" s="147"/>
      <c r="I208" s="147" t="e">
        <f>$H$180*(I$168/$J$168)/(I72-SUM(I65:I68))</f>
        <v>#REF!</v>
      </c>
      <c r="J208" s="146"/>
      <c r="K208" s="146"/>
      <c r="L208" s="146"/>
      <c r="M208" s="146"/>
    </row>
    <row r="209" spans="1:18" x14ac:dyDescent="0.25">
      <c r="A209" s="22"/>
      <c r="B209" s="89" t="s">
        <v>200</v>
      </c>
      <c r="C209" s="146"/>
      <c r="D209" s="146"/>
      <c r="E209" s="147" t="e">
        <f>$H$180*(E$168/$J$168)/R170</f>
        <v>#REF!</v>
      </c>
      <c r="F209" s="148"/>
      <c r="G209" s="148"/>
      <c r="H209" s="147" t="e">
        <f>$H$180*(H$168/$J$168)/Q157</f>
        <v>#REF!</v>
      </c>
      <c r="I209" s="147"/>
      <c r="J209" s="146"/>
      <c r="K209" s="146"/>
      <c r="L209" s="146"/>
      <c r="M209" s="241" t="s">
        <v>256</v>
      </c>
    </row>
    <row r="210" spans="1:18" x14ac:dyDescent="0.25">
      <c r="A210" s="22"/>
      <c r="B210" s="89"/>
      <c r="C210" s="146"/>
      <c r="D210" s="146"/>
      <c r="E210" s="147"/>
      <c r="F210" s="147"/>
      <c r="G210" s="147"/>
      <c r="H210" s="147"/>
      <c r="I210" s="147"/>
      <c r="J210" s="146"/>
      <c r="K210" s="146"/>
      <c r="L210" s="146"/>
      <c r="M210" s="146"/>
    </row>
    <row r="211" spans="1:18" ht="15.6" x14ac:dyDescent="0.3">
      <c r="A211" s="22"/>
      <c r="B211" s="534" t="str">
        <f>$B$1</f>
        <v xml:space="preserve">Jersey Central Power &amp; Light </v>
      </c>
      <c r="C211" s="534"/>
      <c r="D211" s="534"/>
      <c r="E211" s="534"/>
      <c r="F211" s="534"/>
      <c r="G211" s="534"/>
      <c r="H211" s="534"/>
      <c r="I211" s="534"/>
      <c r="J211" s="534"/>
      <c r="K211" s="534"/>
      <c r="L211" s="534"/>
      <c r="M211" s="146"/>
    </row>
    <row r="212" spans="1:18" ht="15.6" x14ac:dyDescent="0.3">
      <c r="A212" s="22"/>
      <c r="B212" s="534" t="str">
        <f>$B$2</f>
        <v>Attachment 2</v>
      </c>
      <c r="C212" s="534"/>
      <c r="D212" s="534"/>
      <c r="E212" s="534"/>
      <c r="F212" s="534"/>
      <c r="G212" s="534"/>
      <c r="H212" s="534"/>
      <c r="I212" s="534"/>
      <c r="J212" s="534"/>
      <c r="K212" s="534"/>
      <c r="L212" s="534"/>
      <c r="M212" s="146"/>
      <c r="N212" s="146"/>
      <c r="O212" s="146"/>
      <c r="P212" s="146"/>
      <c r="Q212" s="146"/>
      <c r="R212" s="146"/>
    </row>
    <row r="213" spans="1:18" x14ac:dyDescent="0.25">
      <c r="A213" s="22"/>
      <c r="E213" s="146"/>
      <c r="F213" s="146"/>
      <c r="G213" s="146"/>
      <c r="H213" s="146"/>
      <c r="L213" s="146"/>
      <c r="M213" s="146"/>
      <c r="N213" s="146"/>
      <c r="O213" s="146"/>
      <c r="P213" s="146"/>
      <c r="Q213" s="146"/>
      <c r="R213" s="146"/>
    </row>
    <row r="214" spans="1:18" x14ac:dyDescent="0.25">
      <c r="A214" s="22"/>
      <c r="M214" s="146"/>
      <c r="N214" s="146"/>
      <c r="O214" s="146"/>
      <c r="P214" s="146"/>
      <c r="Q214" s="146"/>
      <c r="R214" s="146"/>
    </row>
    <row r="215" spans="1:18" x14ac:dyDescent="0.25">
      <c r="A215" s="18" t="s">
        <v>95</v>
      </c>
      <c r="B215" s="16" t="s">
        <v>96</v>
      </c>
      <c r="M215" s="146"/>
      <c r="N215" s="146"/>
      <c r="O215" s="146"/>
      <c r="P215" s="146"/>
      <c r="Q215" s="146"/>
      <c r="R215" s="146"/>
    </row>
    <row r="216" spans="1:18" x14ac:dyDescent="0.25">
      <c r="A216" s="22"/>
      <c r="B216" s="16"/>
      <c r="M216" s="146"/>
      <c r="N216" s="146"/>
      <c r="O216" s="146"/>
      <c r="P216" s="146"/>
      <c r="Q216" s="146"/>
      <c r="R216" s="146"/>
    </row>
    <row r="217" spans="1:18" x14ac:dyDescent="0.25">
      <c r="A217" s="22"/>
      <c r="B217" s="16" t="s">
        <v>97</v>
      </c>
      <c r="M217" s="146"/>
      <c r="N217" s="146"/>
      <c r="O217" s="146"/>
      <c r="P217" s="146"/>
      <c r="Q217" s="146"/>
      <c r="R217" s="146"/>
    </row>
    <row r="218" spans="1:18" x14ac:dyDescent="0.25">
      <c r="A218" s="22"/>
      <c r="B218" s="17" t="s">
        <v>219</v>
      </c>
      <c r="M218" s="146"/>
      <c r="N218" s="146"/>
      <c r="O218" s="146"/>
      <c r="P218" s="146"/>
      <c r="Q218" s="146"/>
      <c r="R218" s="146"/>
    </row>
    <row r="219" spans="1:18" x14ac:dyDescent="0.25">
      <c r="A219" s="22"/>
      <c r="B219" s="17" t="s">
        <v>21</v>
      </c>
      <c r="M219" s="146"/>
      <c r="N219" s="146"/>
      <c r="O219" s="146"/>
      <c r="P219" s="146"/>
      <c r="Q219" s="146"/>
      <c r="R219" s="146"/>
    </row>
    <row r="220" spans="1:18" x14ac:dyDescent="0.25">
      <c r="A220" s="22"/>
      <c r="C220" s="26"/>
      <c r="D220" s="26"/>
      <c r="E220" s="26" t="str">
        <f>+E$13</f>
        <v>RT{1}</v>
      </c>
      <c r="F220" s="26" t="str">
        <f>+F$13</f>
        <v>RS{2}</v>
      </c>
      <c r="G220" s="26" t="str">
        <f>+G$13</f>
        <v>GS{3}</v>
      </c>
      <c r="H220" s="156" t="str">
        <f>+H$58</f>
        <v>GST {4}</v>
      </c>
      <c r="I220" s="26" t="str">
        <f>+I$13</f>
        <v>OL/SL</v>
      </c>
      <c r="J220" s="26"/>
      <c r="K220" s="26"/>
      <c r="M220" s="146"/>
      <c r="N220" s="146"/>
      <c r="O220" s="146"/>
      <c r="P220" s="146"/>
      <c r="Q220" s="146"/>
      <c r="R220" s="146"/>
    </row>
    <row r="221" spans="1:18" x14ac:dyDescent="0.25">
      <c r="A221" s="22"/>
      <c r="C221" s="26"/>
      <c r="D221" s="26"/>
      <c r="E221" s="74"/>
      <c r="F221" s="26"/>
      <c r="G221" s="26"/>
      <c r="M221" s="146"/>
      <c r="N221" s="146"/>
      <c r="O221" s="146"/>
      <c r="P221" s="146"/>
      <c r="Q221" s="146"/>
      <c r="R221" s="146"/>
    </row>
    <row r="222" spans="1:18" x14ac:dyDescent="0.25">
      <c r="A222" s="22"/>
      <c r="B222" s="28" t="s">
        <v>17</v>
      </c>
      <c r="C222" s="74"/>
      <c r="D222" s="74"/>
      <c r="E222" s="74" t="e">
        <f>+E152+(E$95*$F$196)+E$203+E206</f>
        <v>#REF!</v>
      </c>
      <c r="F222" s="74" t="e">
        <f>+F152+(F$95*$F$196)+F$203+F206</f>
        <v>#REF!</v>
      </c>
      <c r="G222" s="74" t="e">
        <f>+G152+(G$95*$F$196)+G$203+G206</f>
        <v>#REF!</v>
      </c>
      <c r="H222" s="74"/>
      <c r="I222" s="74" t="e">
        <f>+I152+(I$95*$F$196)+I$203+I206</f>
        <v>#REF!</v>
      </c>
      <c r="J222" s="74"/>
      <c r="K222" s="74"/>
      <c r="L222" s="74"/>
      <c r="M222" s="146"/>
      <c r="N222" s="146"/>
      <c r="O222" s="146"/>
      <c r="P222" s="146"/>
      <c r="Q222" s="146"/>
      <c r="R222" s="146"/>
    </row>
    <row r="223" spans="1:18" x14ac:dyDescent="0.25">
      <c r="A223" s="22"/>
      <c r="B223" s="77" t="s">
        <v>72</v>
      </c>
      <c r="C223" s="74"/>
      <c r="D223" s="74"/>
      <c r="E223" s="74" t="e">
        <f>+E153+(E$95*$F$196)+E$203+E$207</f>
        <v>#REF!</v>
      </c>
      <c r="F223" s="74"/>
      <c r="G223" s="74"/>
      <c r="H223" s="74" t="e">
        <f>+H153+(H$95*$F$196)+H$203+H$207</f>
        <v>#REF!</v>
      </c>
      <c r="I223" s="74"/>
      <c r="J223" s="74"/>
      <c r="K223" s="74"/>
      <c r="M223" s="146"/>
      <c r="N223" s="146"/>
      <c r="O223" s="146"/>
      <c r="P223" s="146"/>
      <c r="Q223" s="146"/>
      <c r="R223" s="146"/>
    </row>
    <row r="224" spans="1:18" x14ac:dyDescent="0.25">
      <c r="A224" s="22"/>
      <c r="B224" s="77" t="s">
        <v>73</v>
      </c>
      <c r="C224" s="74"/>
      <c r="D224" s="74"/>
      <c r="E224" s="74" t="e">
        <f>+E154+(E$95*$F$196)+E$203</f>
        <v>#REF!</v>
      </c>
      <c r="F224" s="74"/>
      <c r="G224" s="74"/>
      <c r="H224" s="74" t="e">
        <f>+H154+(H$95*$F$196)+H$203</f>
        <v>#REF!</v>
      </c>
      <c r="I224" s="74"/>
      <c r="J224" s="74"/>
      <c r="K224" s="74"/>
      <c r="M224" s="146"/>
      <c r="N224" s="146"/>
      <c r="O224" s="146"/>
      <c r="P224" s="146"/>
      <c r="Q224" s="146"/>
      <c r="R224" s="146"/>
    </row>
    <row r="225" spans="1:18" x14ac:dyDescent="0.25">
      <c r="A225" s="22"/>
      <c r="B225" s="89" t="s">
        <v>142</v>
      </c>
      <c r="C225" s="74"/>
      <c r="D225" s="74"/>
      <c r="E225" s="74"/>
      <c r="F225" s="74" t="e">
        <f>(F222*SUM(F65:F68)-C191*10*E190*SUM(F65:F68))/SUM(F65:F68)</f>
        <v>#REF!</v>
      </c>
      <c r="G225" s="74"/>
      <c r="H225" s="74"/>
      <c r="I225" s="74"/>
      <c r="J225" s="74"/>
      <c r="K225" s="74"/>
      <c r="M225" s="146"/>
      <c r="N225" s="146"/>
      <c r="O225" s="146"/>
      <c r="P225" s="146"/>
      <c r="Q225" s="146"/>
      <c r="R225" s="146"/>
    </row>
    <row r="226" spans="1:18" x14ac:dyDescent="0.25">
      <c r="A226" s="22"/>
      <c r="B226" s="89" t="s">
        <v>144</v>
      </c>
      <c r="C226" s="74"/>
      <c r="D226" s="74"/>
      <c r="E226" s="74"/>
      <c r="F226" s="74" t="e">
        <f>+F225+C191*10</f>
        <v>#REF!</v>
      </c>
      <c r="G226" s="120"/>
      <c r="H226" s="74"/>
      <c r="I226" s="74"/>
      <c r="J226" s="74"/>
      <c r="K226" s="74"/>
      <c r="M226" s="146"/>
      <c r="N226" s="146"/>
      <c r="O226" s="146"/>
      <c r="P226" s="146"/>
      <c r="Q226" s="146"/>
      <c r="R226" s="146"/>
    </row>
    <row r="227" spans="1:18" x14ac:dyDescent="0.25">
      <c r="A227" s="22"/>
      <c r="C227" s="74"/>
      <c r="D227" s="74"/>
      <c r="E227" s="74"/>
      <c r="F227" s="74"/>
      <c r="G227" s="74"/>
      <c r="H227" s="74"/>
      <c r="I227" s="74"/>
      <c r="J227" s="74"/>
      <c r="K227" s="74"/>
      <c r="M227" s="146"/>
      <c r="N227" s="146"/>
      <c r="O227" s="146"/>
      <c r="P227" s="146"/>
      <c r="Q227" s="146"/>
      <c r="R227" s="146"/>
    </row>
    <row r="228" spans="1:18" x14ac:dyDescent="0.25">
      <c r="A228" s="22"/>
      <c r="B228" s="28" t="s">
        <v>18</v>
      </c>
      <c r="C228" s="74"/>
      <c r="D228" s="74"/>
      <c r="E228" s="74" t="e">
        <f>+E156+(E$95*$F$196)+E$203+E208</f>
        <v>#REF!</v>
      </c>
      <c r="F228" s="74" t="e">
        <f>+F156+(F$95*$F$196)+F$203+F208</f>
        <v>#REF!</v>
      </c>
      <c r="G228" s="74" t="e">
        <f>+G156+(G$95*$F$196)+G$203+G208</f>
        <v>#REF!</v>
      </c>
      <c r="H228" s="74"/>
      <c r="I228" s="74" t="e">
        <f>+I156+(I$95*$F$196)+I$203+I208</f>
        <v>#REF!</v>
      </c>
      <c r="J228" s="74"/>
      <c r="K228" s="74"/>
      <c r="L228" s="74"/>
      <c r="M228" s="146"/>
      <c r="N228" s="146"/>
      <c r="O228" s="146"/>
      <c r="P228" s="146"/>
      <c r="Q228" s="146"/>
      <c r="R228" s="146"/>
    </row>
    <row r="229" spans="1:18" x14ac:dyDescent="0.25">
      <c r="A229" s="22"/>
      <c r="B229" s="77" t="s">
        <v>72</v>
      </c>
      <c r="C229" s="74"/>
      <c r="D229" s="74"/>
      <c r="E229" s="74" t="e">
        <f>+E157+(E$95*$F$196)+E$203+E$209</f>
        <v>#REF!</v>
      </c>
      <c r="F229" s="74"/>
      <c r="G229" s="74"/>
      <c r="H229" s="74" t="e">
        <f>+H157+(H$95*$F$196)+H$203+H$209</f>
        <v>#REF!</v>
      </c>
      <c r="I229" s="74"/>
      <c r="J229" s="74"/>
      <c r="K229" s="74"/>
      <c r="M229" s="146"/>
      <c r="N229" s="146"/>
      <c r="O229" s="146"/>
      <c r="P229" s="146"/>
      <c r="Q229" s="146"/>
      <c r="R229" s="146"/>
    </row>
    <row r="230" spans="1:18" x14ac:dyDescent="0.25">
      <c r="A230" s="22"/>
      <c r="B230" s="77" t="s">
        <v>73</v>
      </c>
      <c r="C230" s="74"/>
      <c r="D230" s="74"/>
      <c r="E230" s="74" t="e">
        <f>+E158+(E$95*$F$196)+E$203</f>
        <v>#REF!</v>
      </c>
      <c r="F230" s="74"/>
      <c r="G230" s="74"/>
      <c r="H230" s="74" t="e">
        <f>+H158+(H$95*$F$196)+H$203</f>
        <v>#REF!</v>
      </c>
      <c r="I230" s="74"/>
      <c r="J230" s="74"/>
      <c r="K230" s="74"/>
      <c r="M230" s="146"/>
      <c r="N230" s="146"/>
      <c r="O230" s="146"/>
      <c r="P230" s="146"/>
      <c r="Q230" s="146"/>
      <c r="R230" s="146"/>
    </row>
    <row r="231" spans="1:18" x14ac:dyDescent="0.25">
      <c r="A231" s="22"/>
      <c r="C231" s="74"/>
      <c r="D231" s="74"/>
      <c r="E231" s="74"/>
      <c r="F231" s="74"/>
      <c r="G231" s="74"/>
      <c r="H231" s="74"/>
      <c r="I231" s="74"/>
      <c r="J231" s="74"/>
      <c r="K231" s="74"/>
      <c r="M231" s="146"/>
      <c r="N231" s="146"/>
      <c r="O231" s="146"/>
      <c r="P231" s="146"/>
      <c r="Q231" s="146"/>
      <c r="R231" s="146"/>
    </row>
    <row r="232" spans="1:18" x14ac:dyDescent="0.25">
      <c r="A232" s="22"/>
      <c r="B232" s="13" t="s">
        <v>98</v>
      </c>
      <c r="C232" s="74"/>
      <c r="D232" s="74"/>
      <c r="E232" s="74" t="e">
        <f>+E160+(E$95*$F$196)+E$203+E205</f>
        <v>#REF!</v>
      </c>
      <c r="F232" s="74" t="e">
        <f>+F160+(F$95*$F$196)+F$203+F205</f>
        <v>#REF!</v>
      </c>
      <c r="G232" s="74" t="e">
        <f>+G160+(G$95*$F$196)+G$203+G205</f>
        <v>#REF!</v>
      </c>
      <c r="H232" s="74" t="e">
        <f>((H223*SUMPRODUCT(H38:H41,H65:H68)+H224*SUMPRODUCT(T38:T41,H65:H68))+(H229*(SUMPRODUCT(H33:H37,H60:H64)+SUMPRODUCT(H42:H44,H69:H71))+H230*(SUMPRODUCT(T33:T37,H60:H64)+SUMPRODUCT(T42:T44,H69:H71))))/H72</f>
        <v>#REF!</v>
      </c>
      <c r="I232" s="74" t="e">
        <f>+I160+(I$95*$F$196)+I$203+I205</f>
        <v>#REF!</v>
      </c>
      <c r="J232" s="74"/>
      <c r="K232" s="74"/>
      <c r="L232" s="74"/>
      <c r="M232" s="146"/>
      <c r="N232" s="146"/>
      <c r="O232" s="146"/>
      <c r="P232" s="146"/>
      <c r="Q232" s="146"/>
      <c r="R232" s="146"/>
    </row>
    <row r="233" spans="1:18" x14ac:dyDescent="0.25">
      <c r="A233" s="22"/>
      <c r="C233" s="74"/>
      <c r="D233" s="74"/>
      <c r="E233" s="74"/>
      <c r="F233" s="74"/>
      <c r="G233" s="74"/>
      <c r="H233" s="74"/>
      <c r="I233" s="74"/>
      <c r="J233" s="74"/>
      <c r="K233" s="74"/>
      <c r="L233" s="74"/>
      <c r="M233" s="146"/>
      <c r="N233" s="146"/>
      <c r="O233" s="146"/>
      <c r="P233" s="146"/>
      <c r="Q233" s="146"/>
      <c r="R233" s="146"/>
    </row>
    <row r="234" spans="1:18" x14ac:dyDescent="0.25">
      <c r="A234" s="22"/>
      <c r="B234" s="16" t="s">
        <v>99</v>
      </c>
      <c r="M234" s="146"/>
      <c r="N234" s="146"/>
      <c r="O234" s="146"/>
      <c r="P234" s="146"/>
      <c r="Q234" s="146"/>
      <c r="R234" s="146"/>
    </row>
    <row r="235" spans="1:18" x14ac:dyDescent="0.25">
      <c r="A235" s="22"/>
      <c r="B235" s="17" t="s">
        <v>100</v>
      </c>
      <c r="M235" s="146"/>
      <c r="N235" s="146"/>
      <c r="O235" s="146"/>
      <c r="P235" s="146"/>
      <c r="Q235" s="146"/>
      <c r="R235" s="146"/>
    </row>
    <row r="236" spans="1:18" x14ac:dyDescent="0.25">
      <c r="A236" s="22"/>
      <c r="B236" s="17" t="s">
        <v>21</v>
      </c>
      <c r="M236" s="146"/>
      <c r="N236" s="146"/>
      <c r="O236" s="146"/>
      <c r="P236" s="146"/>
      <c r="Q236" s="146"/>
      <c r="R236" s="146"/>
    </row>
    <row r="237" spans="1:18" x14ac:dyDescent="0.25">
      <c r="A237" s="22"/>
      <c r="B237" s="77"/>
      <c r="C237" s="74"/>
      <c r="D237" s="74"/>
      <c r="I237" s="89"/>
      <c r="J237" s="80"/>
      <c r="K237" s="80"/>
      <c r="L237" s="93"/>
    </row>
    <row r="238" spans="1:18" x14ac:dyDescent="0.25">
      <c r="A238" s="22"/>
      <c r="C238" s="74"/>
      <c r="D238" s="74"/>
    </row>
    <row r="239" spans="1:18" x14ac:dyDescent="0.25">
      <c r="A239" s="22"/>
      <c r="B239" s="37" t="s">
        <v>101</v>
      </c>
      <c r="C239" s="74"/>
      <c r="D239" s="74"/>
      <c r="I239" s="96"/>
      <c r="L239" s="93"/>
    </row>
    <row r="240" spans="1:18" x14ac:dyDescent="0.25">
      <c r="A240" s="22"/>
      <c r="B240" s="77"/>
      <c r="C240" s="74"/>
      <c r="D240" s="74"/>
      <c r="I240" s="89"/>
      <c r="J240" s="97"/>
      <c r="K240" s="97"/>
      <c r="L240" s="93"/>
    </row>
    <row r="241" spans="1:12" ht="15.6" x14ac:dyDescent="0.3">
      <c r="A241" s="22"/>
      <c r="B241" s="534" t="str">
        <f>$B$1</f>
        <v xml:space="preserve">Jersey Central Power &amp; Light </v>
      </c>
      <c r="C241" s="534"/>
      <c r="D241" s="534"/>
      <c r="E241" s="534"/>
      <c r="F241" s="534"/>
      <c r="G241" s="534"/>
      <c r="H241" s="534"/>
      <c r="I241" s="534"/>
      <c r="J241" s="534"/>
      <c r="K241" s="534"/>
      <c r="L241" s="534"/>
    </row>
    <row r="242" spans="1:12" ht="15.6" x14ac:dyDescent="0.3">
      <c r="A242" s="22"/>
      <c r="B242" s="534" t="str">
        <f>$B$2</f>
        <v>Attachment 2</v>
      </c>
      <c r="C242" s="534"/>
      <c r="D242" s="534"/>
      <c r="E242" s="534"/>
      <c r="F242" s="534"/>
      <c r="G242" s="534"/>
      <c r="H242" s="534"/>
      <c r="I242" s="534"/>
      <c r="J242" s="534"/>
      <c r="K242" s="534"/>
      <c r="L242" s="534"/>
    </row>
    <row r="243" spans="1:12" ht="15.6" x14ac:dyDescent="0.3">
      <c r="A243" s="22"/>
      <c r="B243" s="459"/>
      <c r="C243" s="459"/>
      <c r="D243" s="459"/>
      <c r="E243" s="459"/>
      <c r="F243" s="459"/>
      <c r="G243" s="459"/>
      <c r="H243" s="459"/>
      <c r="I243" s="459"/>
      <c r="J243" s="459"/>
      <c r="K243" s="459"/>
      <c r="L243" s="459"/>
    </row>
    <row r="244" spans="1:12" ht="15.6" x14ac:dyDescent="0.3">
      <c r="A244" s="18" t="s">
        <v>106</v>
      </c>
      <c r="B244" s="164" t="s">
        <v>241</v>
      </c>
      <c r="C244" s="20"/>
      <c r="E244" s="166"/>
      <c r="F244" s="38"/>
      <c r="L244" s="459"/>
    </row>
    <row r="245" spans="1:12" ht="15.6" x14ac:dyDescent="0.3">
      <c r="B245" s="13" t="s">
        <v>242</v>
      </c>
      <c r="L245" s="459"/>
    </row>
    <row r="246" spans="1:12" ht="15.6" x14ac:dyDescent="0.3">
      <c r="E246" s="26" t="s">
        <v>61</v>
      </c>
      <c r="F246" s="26" t="s">
        <v>62</v>
      </c>
      <c r="G246" s="26" t="s">
        <v>65</v>
      </c>
      <c r="H246" s="26" t="s">
        <v>203</v>
      </c>
      <c r="I246" s="26" t="s">
        <v>55</v>
      </c>
      <c r="L246" s="459"/>
    </row>
    <row r="247" spans="1:12" ht="15.6" x14ac:dyDescent="0.3">
      <c r="L247" s="459"/>
    </row>
    <row r="248" spans="1:12" ht="15.6" x14ac:dyDescent="0.3">
      <c r="B248" s="28" t="s">
        <v>17</v>
      </c>
      <c r="E248" s="55">
        <f>'Composite Cost Allocation'!E110</f>
        <v>2080422.4798940001</v>
      </c>
      <c r="G248" s="55">
        <f>'Composite Cost Allocation'!G110</f>
        <v>2187580000</v>
      </c>
      <c r="I248" s="55">
        <f>'Composite Cost Allocation'!I110</f>
        <v>38075000</v>
      </c>
      <c r="L248" s="459"/>
    </row>
    <row r="249" spans="1:12" ht="15.6" x14ac:dyDescent="0.3">
      <c r="B249" s="77" t="s">
        <v>72</v>
      </c>
      <c r="E249" s="55">
        <f>'Composite Cost Allocation'!E111</f>
        <v>30286611</v>
      </c>
      <c r="H249" s="55">
        <f>'Composite Cost Allocation'!H111</f>
        <v>15200926.100000001</v>
      </c>
      <c r="L249" s="459"/>
    </row>
    <row r="250" spans="1:12" ht="15.6" x14ac:dyDescent="0.3">
      <c r="B250" s="77" t="s">
        <v>73</v>
      </c>
      <c r="E250" s="55">
        <f>'Composite Cost Allocation'!E112</f>
        <v>43822966.520106003</v>
      </c>
      <c r="H250" s="55">
        <f>'Composite Cost Allocation'!H112</f>
        <v>17415073.899999999</v>
      </c>
      <c r="L250" s="459"/>
    </row>
    <row r="251" spans="1:12" ht="15.6" x14ac:dyDescent="0.3">
      <c r="B251" s="89" t="s">
        <v>142</v>
      </c>
      <c r="F251" s="55">
        <f>'Composite Cost Allocation'!F113</f>
        <v>1937650000</v>
      </c>
      <c r="L251" s="459"/>
    </row>
    <row r="252" spans="1:12" ht="15.6" x14ac:dyDescent="0.3">
      <c r="B252" s="89" t="s">
        <v>144</v>
      </c>
      <c r="F252" s="55">
        <f>'Composite Cost Allocation'!F114</f>
        <v>1725873000</v>
      </c>
      <c r="L252" s="459"/>
    </row>
    <row r="253" spans="1:12" ht="15.6" x14ac:dyDescent="0.3">
      <c r="L253" s="459"/>
    </row>
    <row r="254" spans="1:12" ht="15.6" x14ac:dyDescent="0.3">
      <c r="B254" s="28" t="s">
        <v>18</v>
      </c>
      <c r="E254" s="55">
        <f>'Composite Cost Allocation'!E116</f>
        <v>4242572.9285309995</v>
      </c>
      <c r="F254" s="55">
        <f>'Composite Cost Allocation'!F116</f>
        <v>5157543000</v>
      </c>
      <c r="G254" s="55">
        <f>'Composite Cost Allocation'!G116</f>
        <v>3796476000</v>
      </c>
      <c r="I254" s="55">
        <f>'Composite Cost Allocation'!I116</f>
        <v>76214000</v>
      </c>
      <c r="L254" s="459"/>
    </row>
    <row r="255" spans="1:12" ht="15.6" x14ac:dyDescent="0.3">
      <c r="B255" s="77" t="s">
        <v>72</v>
      </c>
      <c r="E255" s="55">
        <f>'Composite Cost Allocation'!E117</f>
        <v>55263715.358677089</v>
      </c>
      <c r="H255" s="55">
        <f>'Composite Cost Allocation'!H117</f>
        <v>37452340.899999999</v>
      </c>
      <c r="L255" s="459"/>
    </row>
    <row r="256" spans="1:12" ht="15.6" x14ac:dyDescent="0.3">
      <c r="B256" s="77" t="s">
        <v>73</v>
      </c>
      <c r="E256" s="55">
        <f>'Composite Cost Allocation'!E118</f>
        <v>100382711.71279192</v>
      </c>
      <c r="H256" s="55">
        <f>'Composite Cost Allocation'!H118</f>
        <v>47954659.100000001</v>
      </c>
      <c r="L256" s="459"/>
    </row>
    <row r="257" spans="1:15" ht="15.6" x14ac:dyDescent="0.3">
      <c r="J257" s="26" t="s">
        <v>13</v>
      </c>
      <c r="K257" s="26"/>
      <c r="M257" s="267" t="s">
        <v>290</v>
      </c>
      <c r="N257" s="267" t="s">
        <v>291</v>
      </c>
    </row>
    <row r="258" spans="1:15" x14ac:dyDescent="0.25">
      <c r="B258" s="89" t="s">
        <v>162</v>
      </c>
      <c r="E258" s="55">
        <f>SUM(E248:E252)</f>
        <v>76190000</v>
      </c>
      <c r="F258" s="55">
        <f>SUM(F248:F252)</f>
        <v>3663523000</v>
      </c>
      <c r="G258" s="55">
        <f>SUM(G248:G252)</f>
        <v>2187580000</v>
      </c>
      <c r="H258" s="55">
        <f>SUM(H248:H252)</f>
        <v>32616000</v>
      </c>
      <c r="I258" s="55">
        <f>SUM(I248:I252)</f>
        <v>38075000</v>
      </c>
      <c r="J258" s="55">
        <f>SUM(E258:I258)</f>
        <v>5997984000</v>
      </c>
      <c r="K258" s="55"/>
      <c r="M258" s="282">
        <f>ROUND(J258*$E$95/1000,0)</f>
        <v>6705741</v>
      </c>
      <c r="N258" s="282">
        <f>ROUND(J258*$E$98/1000,0)</f>
        <v>6656080</v>
      </c>
    </row>
    <row r="259" spans="1:15" x14ac:dyDescent="0.25">
      <c r="B259" s="89" t="s">
        <v>163</v>
      </c>
      <c r="E259" s="139">
        <f>SUM(E254:E256)</f>
        <v>159889000</v>
      </c>
      <c r="F259" s="139">
        <f>SUM(F254:F256)</f>
        <v>5157543000</v>
      </c>
      <c r="G259" s="134">
        <f>SUM(G254:G256)</f>
        <v>3796476000</v>
      </c>
      <c r="H259" s="134">
        <f>SUM(H254:H256)</f>
        <v>85407000</v>
      </c>
      <c r="I259" s="134">
        <f>SUM(I254:I256)</f>
        <v>76214000</v>
      </c>
      <c r="J259" s="139">
        <f>SUM(E259:I259)</f>
        <v>9275529000</v>
      </c>
      <c r="K259" s="139"/>
      <c r="M259" s="282">
        <f>ROUND(J259*$E$95/1000,0)</f>
        <v>10370034</v>
      </c>
      <c r="N259" s="282">
        <f>ROUND(J259*$E$98/1000,0)</f>
        <v>10293236</v>
      </c>
    </row>
    <row r="260" spans="1:15" x14ac:dyDescent="0.25">
      <c r="B260" s="89" t="s">
        <v>164</v>
      </c>
      <c r="E260" s="55">
        <f>SUM(E258:E259)</f>
        <v>236079000</v>
      </c>
      <c r="F260" s="55">
        <f>SUM(F258:F259)</f>
        <v>8821066000</v>
      </c>
      <c r="G260" s="55">
        <f>SUM(G258:G259)</f>
        <v>5984056000</v>
      </c>
      <c r="H260" s="55">
        <f>SUM(H258:H259)</f>
        <v>118023000</v>
      </c>
      <c r="I260" s="55">
        <f>SUM(I258:I259)</f>
        <v>114289000</v>
      </c>
      <c r="J260" s="55">
        <f>SUM(E260:I260)</f>
        <v>15273513000</v>
      </c>
      <c r="K260" s="55"/>
      <c r="M260" s="283">
        <f>SUM(M258:M259)</f>
        <v>17075775</v>
      </c>
      <c r="N260" s="283">
        <f>SUM(N258:N259)</f>
        <v>16949316</v>
      </c>
    </row>
    <row r="261" spans="1:15" ht="15.6" x14ac:dyDescent="0.3">
      <c r="A261" s="22"/>
      <c r="B261" s="459"/>
      <c r="C261" s="459"/>
      <c r="D261" s="459"/>
      <c r="E261" s="459"/>
      <c r="F261" s="459"/>
      <c r="G261" s="459"/>
      <c r="H261" s="459"/>
      <c r="I261" s="459"/>
      <c r="J261" s="281" t="s">
        <v>256</v>
      </c>
      <c r="K261" s="281"/>
      <c r="L261" s="459"/>
    </row>
    <row r="262" spans="1:15" ht="15.6" x14ac:dyDescent="0.3">
      <c r="A262" s="22"/>
      <c r="B262" s="459"/>
      <c r="C262" s="459"/>
      <c r="D262" s="459"/>
      <c r="E262" s="459"/>
      <c r="F262" s="459"/>
      <c r="G262" s="459"/>
      <c r="H262" s="459"/>
      <c r="I262" s="459"/>
      <c r="J262" s="459"/>
      <c r="K262" s="459"/>
      <c r="L262" s="459"/>
    </row>
    <row r="264" spans="1:15" x14ac:dyDescent="0.25">
      <c r="A264" s="6" t="s">
        <v>133</v>
      </c>
      <c r="B264" s="1" t="s">
        <v>168</v>
      </c>
      <c r="C264"/>
      <c r="D264"/>
      <c r="E264"/>
      <c r="F264"/>
      <c r="G264"/>
      <c r="H264"/>
      <c r="I264"/>
      <c r="J264"/>
      <c r="K264"/>
      <c r="L264"/>
    </row>
    <row r="265" spans="1:15" x14ac:dyDescent="0.25">
      <c r="A265" s="7"/>
      <c r="B265" s="1"/>
      <c r="C265"/>
      <c r="D265"/>
      <c r="E265"/>
      <c r="F265"/>
      <c r="G265"/>
      <c r="H265"/>
      <c r="I265"/>
      <c r="J265"/>
      <c r="K265"/>
      <c r="L265"/>
    </row>
    <row r="266" spans="1:15" x14ac:dyDescent="0.25">
      <c r="A266" s="7"/>
      <c r="B266"/>
      <c r="C266" s="460"/>
      <c r="D266" s="460"/>
      <c r="E266" s="26" t="str">
        <f>+E$13</f>
        <v>RT{1}</v>
      </c>
      <c r="F266" s="26" t="str">
        <f>+F$13</f>
        <v>RS{2}</v>
      </c>
      <c r="G266" s="26" t="str">
        <f>+G$13</f>
        <v>GS{3}</v>
      </c>
      <c r="H266" s="156" t="str">
        <f>+H$58</f>
        <v>GST {4}</v>
      </c>
      <c r="I266" s="26" t="str">
        <f>+I$13</f>
        <v>OL/SL</v>
      </c>
      <c r="J266" s="460" t="s">
        <v>13</v>
      </c>
      <c r="K266" s="460"/>
      <c r="L266" s="460"/>
    </row>
    <row r="267" spans="1:15" x14ac:dyDescent="0.25">
      <c r="A267" s="7"/>
      <c r="B267" t="s">
        <v>134</v>
      </c>
      <c r="C267"/>
      <c r="D267"/>
      <c r="E267"/>
      <c r="F267"/>
      <c r="G267"/>
      <c r="H267"/>
      <c r="I267"/>
      <c r="J267"/>
      <c r="K267"/>
      <c r="L267"/>
    </row>
    <row r="268" spans="1:15" x14ac:dyDescent="0.25">
      <c r="A268" s="7"/>
      <c r="B268" s="28" t="s">
        <v>17</v>
      </c>
      <c r="C268" s="150"/>
      <c r="D268" s="150"/>
      <c r="E268" s="150" t="e">
        <f>+E222*E248/1000000</f>
        <v>#REF!</v>
      </c>
      <c r="F268" s="150"/>
      <c r="G268" s="150" t="e">
        <f>+G222*G248/1000000</f>
        <v>#REF!</v>
      </c>
      <c r="H268" s="145"/>
      <c r="I268" s="150" t="e">
        <f>+I222*I248/1000000</f>
        <v>#REF!</v>
      </c>
      <c r="J268" s="150"/>
      <c r="K268" s="150"/>
      <c r="L268" s="150"/>
    </row>
    <row r="269" spans="1:15" x14ac:dyDescent="0.25">
      <c r="A269" s="7"/>
      <c r="B269" s="77" t="s">
        <v>72</v>
      </c>
      <c r="C269" s="150"/>
      <c r="D269" s="150"/>
      <c r="E269" s="150" t="e">
        <f>+E223*E249/1000000</f>
        <v>#REF!</v>
      </c>
      <c r="F269" s="150"/>
      <c r="G269" s="150"/>
      <c r="H269" s="150" t="e">
        <f>+H223*H249/1000000</f>
        <v>#REF!</v>
      </c>
      <c r="I269" s="150"/>
      <c r="J269" s="150"/>
      <c r="K269" s="150"/>
      <c r="L269" s="150"/>
    </row>
    <row r="270" spans="1:15" x14ac:dyDescent="0.25">
      <c r="A270" s="7"/>
      <c r="B270" s="77" t="s">
        <v>73</v>
      </c>
      <c r="C270" s="150"/>
      <c r="D270" s="150"/>
      <c r="E270" s="150" t="e">
        <f>+E224*E250/1000000</f>
        <v>#REF!</v>
      </c>
      <c r="F270" s="150"/>
      <c r="G270" s="150"/>
      <c r="H270" s="150" t="e">
        <f>+H224*H250/1000000</f>
        <v>#REF!</v>
      </c>
      <c r="I270" s="150"/>
      <c r="J270" s="150"/>
      <c r="K270" s="150"/>
      <c r="L270" s="81"/>
      <c r="M270" s="81"/>
      <c r="N270" s="81"/>
      <c r="O270" s="81"/>
    </row>
    <row r="271" spans="1:15" x14ac:dyDescent="0.25">
      <c r="A271" s="7"/>
      <c r="B271" s="89" t="s">
        <v>142</v>
      </c>
      <c r="C271" s="150"/>
      <c r="D271" s="150"/>
      <c r="E271" s="150"/>
      <c r="F271" s="150" t="e">
        <f>+F225*F251/1000000</f>
        <v>#REF!</v>
      </c>
      <c r="G271" s="150"/>
      <c r="H271" s="145"/>
      <c r="I271" s="150"/>
      <c r="J271" s="150"/>
      <c r="K271" s="150"/>
      <c r="L271" s="150"/>
    </row>
    <row r="272" spans="1:15" x14ac:dyDescent="0.25">
      <c r="A272" s="7"/>
      <c r="B272" s="89" t="s">
        <v>144</v>
      </c>
      <c r="C272" s="150"/>
      <c r="D272" s="150"/>
      <c r="E272" s="150"/>
      <c r="F272" s="150" t="e">
        <f>+F226*F252/1000000</f>
        <v>#REF!</v>
      </c>
      <c r="G272" s="150"/>
      <c r="H272" s="145"/>
      <c r="I272" s="150"/>
      <c r="J272" s="150"/>
      <c r="K272" s="150"/>
      <c r="L272" s="150"/>
    </row>
    <row r="273" spans="1:12" x14ac:dyDescent="0.25">
      <c r="A273" s="7"/>
      <c r="C273" s="150"/>
      <c r="D273" s="150"/>
      <c r="E273" s="150"/>
      <c r="F273" s="150"/>
      <c r="G273" s="150"/>
      <c r="H273" s="145"/>
      <c r="I273" s="150"/>
      <c r="J273" s="150"/>
      <c r="K273" s="150"/>
      <c r="L273" s="150"/>
    </row>
    <row r="274" spans="1:12" x14ac:dyDescent="0.25">
      <c r="A274" s="7"/>
      <c r="B274" s="28" t="s">
        <v>18</v>
      </c>
      <c r="C274" s="150"/>
      <c r="D274" s="150"/>
      <c r="E274" s="150" t="e">
        <f>+E228*E254/1000000</f>
        <v>#REF!</v>
      </c>
      <c r="F274" s="150" t="e">
        <f>+F228*F254/1000000</f>
        <v>#REF!</v>
      </c>
      <c r="G274" s="150" t="e">
        <f>+G228*G254/1000000</f>
        <v>#REF!</v>
      </c>
      <c r="I274" s="150" t="e">
        <f>+I228*I254/1000000</f>
        <v>#REF!</v>
      </c>
      <c r="J274" s="150"/>
      <c r="K274" s="150"/>
      <c r="L274" s="150"/>
    </row>
    <row r="275" spans="1:12" x14ac:dyDescent="0.25">
      <c r="A275" s="7"/>
      <c r="B275" s="77" t="s">
        <v>72</v>
      </c>
      <c r="C275" s="150"/>
      <c r="D275" s="150"/>
      <c r="E275" s="150" t="e">
        <f>+E229*E255/1000000</f>
        <v>#REF!</v>
      </c>
      <c r="F275" s="3"/>
      <c r="G275" s="3"/>
      <c r="H275" s="150" t="e">
        <f>+H229*H255/1000000</f>
        <v>#REF!</v>
      </c>
      <c r="I275" s="3"/>
      <c r="J275" s="150"/>
      <c r="K275" s="150"/>
      <c r="L275" s="150"/>
    </row>
    <row r="276" spans="1:12" x14ac:dyDescent="0.25">
      <c r="A276" s="7"/>
      <c r="B276" s="77" t="s">
        <v>73</v>
      </c>
      <c r="C276" s="3"/>
      <c r="D276" s="3"/>
      <c r="E276" s="150" t="e">
        <f>+E230*E256/1000000</f>
        <v>#REF!</v>
      </c>
      <c r="H276" s="150" t="e">
        <f>+H230*H256/1000000</f>
        <v>#REF!</v>
      </c>
      <c r="J276" s="150"/>
      <c r="K276" s="150"/>
      <c r="L276" s="150"/>
    </row>
    <row r="277" spans="1:12" x14ac:dyDescent="0.25">
      <c r="A277" s="7"/>
      <c r="B277" s="5"/>
      <c r="C277"/>
      <c r="D277"/>
      <c r="E277"/>
      <c r="F277"/>
      <c r="G277"/>
      <c r="H277"/>
      <c r="I277"/>
      <c r="J277"/>
      <c r="K277"/>
      <c r="L277"/>
    </row>
    <row r="278" spans="1:12" x14ac:dyDescent="0.25">
      <c r="A278" s="7"/>
      <c r="B278" t="s">
        <v>135</v>
      </c>
      <c r="C278"/>
      <c r="D278"/>
      <c r="E278"/>
      <c r="F278"/>
      <c r="G278"/>
      <c r="H278"/>
      <c r="I278"/>
      <c r="J278"/>
      <c r="K278"/>
      <c r="L278"/>
    </row>
    <row r="279" spans="1:12" x14ac:dyDescent="0.25">
      <c r="A279" s="7"/>
      <c r="B279" s="5" t="s">
        <v>25</v>
      </c>
      <c r="D279"/>
      <c r="E279" s="3" t="e">
        <f>SUM(E268:E272)</f>
        <v>#REF!</v>
      </c>
      <c r="F279" s="3" t="e">
        <f>SUM(F268:F272)</f>
        <v>#REF!</v>
      </c>
      <c r="G279" s="3" t="e">
        <f>SUM(G268:G272)</f>
        <v>#REF!</v>
      </c>
      <c r="H279" s="3" t="e">
        <f>SUM(H268:H272)</f>
        <v>#REF!</v>
      </c>
      <c r="I279" s="3" t="e">
        <f>SUM(I268:I272)</f>
        <v>#REF!</v>
      </c>
      <c r="J279" s="152" t="e">
        <f>SUM(E279:I279)</f>
        <v>#REF!</v>
      </c>
      <c r="K279" s="152"/>
      <c r="L279"/>
    </row>
    <row r="280" spans="1:12" x14ac:dyDescent="0.25">
      <c r="A280" s="7"/>
      <c r="B280" s="5" t="s">
        <v>26</v>
      </c>
      <c r="D280"/>
      <c r="E280" s="3" t="e">
        <f>SUM(E274:E276)</f>
        <v>#REF!</v>
      </c>
      <c r="F280" s="3" t="e">
        <f>SUM(F274:F276)</f>
        <v>#REF!</v>
      </c>
      <c r="G280" s="3" t="e">
        <f>SUM(G274:G276)</f>
        <v>#REF!</v>
      </c>
      <c r="H280" s="3" t="e">
        <f>SUM(H274:H276)</f>
        <v>#REF!</v>
      </c>
      <c r="I280" s="3" t="e">
        <f>SUM(I274:I276)</f>
        <v>#REF!</v>
      </c>
      <c r="J280" s="152" t="e">
        <f>SUM(E280:I280)</f>
        <v>#REF!</v>
      </c>
      <c r="K280" s="152"/>
      <c r="L280"/>
    </row>
    <row r="281" spans="1:12" x14ac:dyDescent="0.25">
      <c r="A281" s="7"/>
      <c r="B281" s="5" t="s">
        <v>13</v>
      </c>
      <c r="D281"/>
      <c r="E281" s="3" t="e">
        <f>SUM(E279:E280)</f>
        <v>#REF!</v>
      </c>
      <c r="F281" s="3" t="e">
        <f>SUM(F279:F280)</f>
        <v>#REF!</v>
      </c>
      <c r="G281" s="3" t="e">
        <f>SUM(G279:G280)</f>
        <v>#REF!</v>
      </c>
      <c r="H281" s="3" t="e">
        <f>SUM(H279:H280)</f>
        <v>#REF!</v>
      </c>
      <c r="I281" s="3" t="e">
        <f>SUM(I279:I280)</f>
        <v>#REF!</v>
      </c>
      <c r="J281" s="3" t="e">
        <f>SUM(E281:I281)</f>
        <v>#REF!</v>
      </c>
      <c r="K281" s="3"/>
    </row>
    <row r="282" spans="1:12" x14ac:dyDescent="0.25">
      <c r="A282" s="7"/>
      <c r="B282"/>
      <c r="C282"/>
      <c r="D282"/>
      <c r="E282"/>
      <c r="F282"/>
      <c r="G282"/>
      <c r="H282"/>
      <c r="J282"/>
      <c r="K282"/>
    </row>
    <row r="283" spans="1:12" x14ac:dyDescent="0.25">
      <c r="A283" s="7"/>
      <c r="B283" t="s">
        <v>136</v>
      </c>
      <c r="C283"/>
      <c r="D283"/>
      <c r="E283"/>
      <c r="F283"/>
      <c r="G283"/>
      <c r="H283"/>
      <c r="J283"/>
      <c r="K283"/>
    </row>
    <row r="284" spans="1:12" x14ac:dyDescent="0.25">
      <c r="A284" s="7"/>
      <c r="B284" s="5" t="s">
        <v>25</v>
      </c>
      <c r="C284"/>
      <c r="D284"/>
      <c r="E284" s="151" t="e">
        <f t="shared" ref="E284:J284" si="21">+E279/E281</f>
        <v>#REF!</v>
      </c>
      <c r="F284" s="151" t="e">
        <f t="shared" si="21"/>
        <v>#REF!</v>
      </c>
      <c r="G284" s="151" t="e">
        <f t="shared" si="21"/>
        <v>#REF!</v>
      </c>
      <c r="H284" s="151" t="e">
        <f t="shared" si="21"/>
        <v>#REF!</v>
      </c>
      <c r="I284" s="151" t="e">
        <f t="shared" si="21"/>
        <v>#REF!</v>
      </c>
      <c r="J284" s="151" t="e">
        <f t="shared" si="21"/>
        <v>#REF!</v>
      </c>
      <c r="K284" s="151"/>
    </row>
    <row r="285" spans="1:12" x14ac:dyDescent="0.25">
      <c r="A285" s="7"/>
      <c r="B285" s="5" t="s">
        <v>26</v>
      </c>
      <c r="C285"/>
      <c r="D285"/>
      <c r="E285" s="151" t="e">
        <f t="shared" ref="E285:J285" si="22">+E280/E281</f>
        <v>#REF!</v>
      </c>
      <c r="F285" s="151" t="e">
        <f t="shared" si="22"/>
        <v>#REF!</v>
      </c>
      <c r="G285" s="151" t="e">
        <f t="shared" si="22"/>
        <v>#REF!</v>
      </c>
      <c r="H285" s="151" t="e">
        <f t="shared" si="22"/>
        <v>#REF!</v>
      </c>
      <c r="I285" s="151" t="e">
        <f t="shared" si="22"/>
        <v>#REF!</v>
      </c>
      <c r="J285" s="151" t="e">
        <f t="shared" si="22"/>
        <v>#REF!</v>
      </c>
      <c r="K285" s="151"/>
    </row>
    <row r="286" spans="1:12" x14ac:dyDescent="0.25">
      <c r="A286" s="7"/>
      <c r="B286" s="5"/>
      <c r="C286"/>
      <c r="D286"/>
      <c r="E286" s="151"/>
      <c r="F286" s="151"/>
      <c r="G286" s="151"/>
      <c r="H286" s="151"/>
      <c r="I286" s="151"/>
      <c r="J286" s="151"/>
      <c r="K286" s="151"/>
    </row>
    <row r="287" spans="1:12" ht="15.6" x14ac:dyDescent="0.3">
      <c r="A287" s="22"/>
      <c r="B287" s="534" t="str">
        <f>$B$1</f>
        <v xml:space="preserve">Jersey Central Power &amp; Light </v>
      </c>
      <c r="C287" s="534"/>
      <c r="D287" s="534"/>
      <c r="E287" s="534"/>
      <c r="F287" s="534"/>
      <c r="G287" s="534"/>
      <c r="H287" s="534"/>
      <c r="I287" s="534"/>
      <c r="J287" s="534"/>
      <c r="K287" s="534"/>
      <c r="L287" s="534"/>
    </row>
    <row r="288" spans="1:12" ht="15.6" x14ac:dyDescent="0.3">
      <c r="A288" s="22"/>
      <c r="B288" s="534" t="str">
        <f>$B$2</f>
        <v>Attachment 2</v>
      </c>
      <c r="C288" s="534"/>
      <c r="D288" s="534"/>
      <c r="E288" s="534"/>
      <c r="F288" s="534"/>
      <c r="G288" s="534"/>
      <c r="H288" s="534"/>
      <c r="I288" s="534"/>
      <c r="J288" s="534"/>
      <c r="K288" s="534"/>
      <c r="L288" s="534"/>
    </row>
    <row r="289" spans="1:21" x14ac:dyDescent="0.25">
      <c r="F289"/>
      <c r="G289"/>
      <c r="H289"/>
      <c r="J289"/>
      <c r="K289"/>
    </row>
    <row r="290" spans="1:21" x14ac:dyDescent="0.25">
      <c r="F290"/>
      <c r="G290"/>
      <c r="H290"/>
      <c r="J290"/>
      <c r="K290"/>
    </row>
    <row r="291" spans="1:21" x14ac:dyDescent="0.25">
      <c r="A291" s="6" t="s">
        <v>246</v>
      </c>
      <c r="C291" s="284" t="s">
        <v>446</v>
      </c>
      <c r="D291" s="240"/>
      <c r="E291" s="240"/>
      <c r="F291"/>
      <c r="G291"/>
      <c r="H291"/>
      <c r="J291"/>
      <c r="K291"/>
    </row>
    <row r="292" spans="1:21" x14ac:dyDescent="0.25">
      <c r="F292"/>
      <c r="G292"/>
      <c r="H292"/>
      <c r="J292"/>
      <c r="K292"/>
    </row>
    <row r="293" spans="1:21" x14ac:dyDescent="0.25">
      <c r="A293" s="13"/>
      <c r="J293"/>
      <c r="K293"/>
    </row>
    <row r="294" spans="1:21" x14ac:dyDescent="0.25">
      <c r="A294" s="13"/>
      <c r="J294"/>
      <c r="K294"/>
    </row>
    <row r="295" spans="1:21" x14ac:dyDescent="0.25">
      <c r="A295" s="6" t="s">
        <v>244</v>
      </c>
      <c r="B295" s="1" t="s">
        <v>247</v>
      </c>
      <c r="C295"/>
      <c r="D295"/>
      <c r="E295"/>
      <c r="G295" s="81"/>
      <c r="J295"/>
      <c r="K295"/>
    </row>
    <row r="296" spans="1:21" x14ac:dyDescent="0.25">
      <c r="A296" s="7"/>
      <c r="C296" s="74"/>
      <c r="D296" s="74"/>
      <c r="J296"/>
      <c r="K296"/>
    </row>
    <row r="297" spans="1:21" x14ac:dyDescent="0.25">
      <c r="A297" s="7"/>
      <c r="B297" s="16" t="s">
        <v>102</v>
      </c>
      <c r="C297" s="74"/>
      <c r="D297" s="74"/>
      <c r="J297"/>
      <c r="K297"/>
    </row>
    <row r="298" spans="1:21" x14ac:dyDescent="0.25">
      <c r="A298" s="7"/>
      <c r="B298" s="89" t="s">
        <v>103</v>
      </c>
      <c r="C298" s="145" t="e">
        <f>(+SUMPRODUCT(C232:I232,C72:I72))/1000</f>
        <v>#REF!</v>
      </c>
      <c r="J298"/>
      <c r="K298"/>
    </row>
    <row r="299" spans="1:21" x14ac:dyDescent="0.25">
      <c r="A299" s="7"/>
      <c r="C299" s="89" t="s">
        <v>104</v>
      </c>
      <c r="D299" s="308" t="e">
        <f>+C298/SUMPRODUCT(E72:I72,E95:I95)*1000</f>
        <v>#REF!</v>
      </c>
      <c r="E299" s="13" t="s">
        <v>105</v>
      </c>
      <c r="J299"/>
      <c r="K299"/>
      <c r="M299" s="276" t="s">
        <v>271</v>
      </c>
      <c r="N299" s="277" t="e">
        <f>C298/SUMPRODUCT(E72:I72,E98:I98)*1000</f>
        <v>#REF!</v>
      </c>
      <c r="O299" s="276" t="s">
        <v>269</v>
      </c>
      <c r="P299" s="276"/>
      <c r="Q299" s="276"/>
      <c r="R299" s="276"/>
    </row>
    <row r="300" spans="1:21" x14ac:dyDescent="0.25">
      <c r="A300" s="7"/>
      <c r="J300"/>
      <c r="K300"/>
    </row>
    <row r="301" spans="1:21" x14ac:dyDescent="0.25">
      <c r="A301" s="7"/>
      <c r="C301" s="89"/>
      <c r="D301" s="268"/>
      <c r="I301" s="13" t="s">
        <v>256</v>
      </c>
      <c r="J301"/>
      <c r="K301"/>
    </row>
    <row r="302" spans="1:21" x14ac:dyDescent="0.25">
      <c r="A302" s="6" t="s">
        <v>245</v>
      </c>
      <c r="B302" s="1" t="s">
        <v>220</v>
      </c>
      <c r="C302" s="89"/>
      <c r="D302" s="255"/>
      <c r="J302"/>
      <c r="K302"/>
    </row>
    <row r="303" spans="1:21" x14ac:dyDescent="0.25">
      <c r="A303" s="7"/>
      <c r="B303"/>
      <c r="C303"/>
      <c r="D303"/>
      <c r="E303"/>
      <c r="F303"/>
      <c r="G303"/>
      <c r="H303"/>
      <c r="J303"/>
      <c r="K303"/>
    </row>
    <row r="304" spans="1:21" x14ac:dyDescent="0.25">
      <c r="A304" s="7"/>
      <c r="B304" s="13" t="s">
        <v>288</v>
      </c>
      <c r="G304" s="253" t="s">
        <v>176</v>
      </c>
      <c r="H304" s="134"/>
      <c r="I304" s="134"/>
      <c r="J304" s="10"/>
      <c r="K304" s="10"/>
      <c r="M304" s="13" t="s">
        <v>287</v>
      </c>
      <c r="R304" s="253" t="s">
        <v>176</v>
      </c>
      <c r="S304" s="134"/>
      <c r="T304" s="134"/>
      <c r="U304" s="10"/>
    </row>
    <row r="305" spans="1:20" x14ac:dyDescent="0.25">
      <c r="A305" s="7"/>
      <c r="B305" s="71" t="s">
        <v>25</v>
      </c>
      <c r="C305" s="309" t="e">
        <f>+J279/SUMPRODUCT(Q64:U64,E$95:I$95)*1000</f>
        <v>#REF!</v>
      </c>
      <c r="D305" s="13" t="s">
        <v>137</v>
      </c>
      <c r="H305" s="26" t="s">
        <v>25</v>
      </c>
      <c r="I305" s="254" t="e">
        <f>ROUND(C305/$D$299,4)</f>
        <v>#REF!</v>
      </c>
      <c r="M305" s="243" t="s">
        <v>25</v>
      </c>
      <c r="N305" s="244" t="e">
        <f>J279/SUMPRODUCT(Q64:U64,E$98:I$98)*1000</f>
        <v>#REF!</v>
      </c>
      <c r="O305" s="242" t="s">
        <v>270</v>
      </c>
      <c r="P305" s="242"/>
      <c r="Q305" s="252"/>
      <c r="S305" s="245" t="s">
        <v>25</v>
      </c>
      <c r="T305" s="246" t="e">
        <f>ROUND(N305/N299,4)</f>
        <v>#REF!</v>
      </c>
    </row>
    <row r="306" spans="1:20" x14ac:dyDescent="0.25">
      <c r="A306" s="7"/>
      <c r="B306" s="71" t="s">
        <v>26</v>
      </c>
      <c r="C306" s="143" t="e">
        <f>+J280/SUMPRODUCT(Q60:U60,E$95:I$95)*1000</f>
        <v>#REF!</v>
      </c>
      <c r="D306" s="13" t="s">
        <v>137</v>
      </c>
      <c r="H306" s="26" t="s">
        <v>26</v>
      </c>
      <c r="I306" s="254" t="e">
        <f>ROUND(C306/$D$299,4)</f>
        <v>#REF!</v>
      </c>
      <c r="M306" s="243" t="s">
        <v>26</v>
      </c>
      <c r="N306" s="244" t="e">
        <f>J280/SUMPRODUCT(Q60:U60,E$98:I$98)*1000</f>
        <v>#REF!</v>
      </c>
      <c r="O306" s="242" t="s">
        <v>270</v>
      </c>
      <c r="P306" s="242"/>
      <c r="Q306" s="252"/>
      <c r="S306" s="245" t="s">
        <v>26</v>
      </c>
      <c r="T306" s="246" t="e">
        <f>ROUND(N306/N299,4)</f>
        <v>#REF!</v>
      </c>
    </row>
    <row r="307" spans="1:20" x14ac:dyDescent="0.25">
      <c r="A307" s="7"/>
    </row>
    <row r="308" spans="1:20" x14ac:dyDescent="0.25">
      <c r="A308" s="7"/>
      <c r="G308" s="253" t="s">
        <v>424</v>
      </c>
    </row>
    <row r="309" spans="1:20" x14ac:dyDescent="0.25">
      <c r="A309" s="7"/>
      <c r="B309"/>
      <c r="C309"/>
      <c r="D309"/>
      <c r="E309" s="138"/>
      <c r="F309" s="4"/>
      <c r="G309"/>
      <c r="H309" s="26" t="s">
        <v>25</v>
      </c>
      <c r="I309" s="457" t="e">
        <f>IF(I306&gt;I305,1,I305)</f>
        <v>#REF!</v>
      </c>
      <c r="J309"/>
      <c r="K309"/>
      <c r="L309"/>
    </row>
    <row r="310" spans="1:20" x14ac:dyDescent="0.25">
      <c r="A310" s="16" t="s">
        <v>108</v>
      </c>
      <c r="E310" s="98"/>
      <c r="F310" s="101"/>
      <c r="H310" s="26" t="s">
        <v>26</v>
      </c>
      <c r="I310" s="457" t="e">
        <f>IF(I306&gt;I305,1,I306)</f>
        <v>#REF!</v>
      </c>
      <c r="J310"/>
      <c r="K310"/>
      <c r="L310"/>
    </row>
    <row r="311" spans="1:20" x14ac:dyDescent="0.25">
      <c r="A311" s="22"/>
      <c r="B311" s="89" t="s">
        <v>132</v>
      </c>
      <c r="C311" s="102">
        <f>D179</f>
        <v>147.61390395760486</v>
      </c>
      <c r="D311" s="93" t="s">
        <v>160</v>
      </c>
      <c r="E311" s="98"/>
      <c r="F311" s="101"/>
      <c r="I311"/>
      <c r="J311"/>
      <c r="K311"/>
      <c r="L311"/>
    </row>
    <row r="312" spans="1:20" x14ac:dyDescent="0.25">
      <c r="A312" s="22"/>
      <c r="B312" s="89"/>
      <c r="C312" s="102">
        <f>D180</f>
        <v>147.61390395760486</v>
      </c>
      <c r="D312" s="93" t="s">
        <v>161</v>
      </c>
      <c r="E312" s="98"/>
      <c r="F312" s="101"/>
      <c r="I312"/>
      <c r="J312"/>
      <c r="K312"/>
      <c r="L312"/>
    </row>
    <row r="313" spans="1:20" x14ac:dyDescent="0.25">
      <c r="A313" s="22"/>
      <c r="B313" s="89" t="s">
        <v>159</v>
      </c>
      <c r="C313" s="81" t="s">
        <v>158</v>
      </c>
      <c r="D313" s="93"/>
      <c r="E313" s="98"/>
      <c r="F313" s="101"/>
      <c r="I313"/>
      <c r="J313"/>
      <c r="K313"/>
      <c r="L313"/>
    </row>
    <row r="314" spans="1:20" x14ac:dyDescent="0.25">
      <c r="A314" s="22"/>
      <c r="B314" s="89" t="s">
        <v>109</v>
      </c>
      <c r="C314" s="149">
        <f>+H173</f>
        <v>4</v>
      </c>
      <c r="D314" s="13" t="s">
        <v>110</v>
      </c>
      <c r="E314" s="98"/>
      <c r="F314" s="101"/>
      <c r="I314"/>
      <c r="J314"/>
      <c r="K314"/>
      <c r="L314"/>
    </row>
    <row r="315" spans="1:20" x14ac:dyDescent="0.25">
      <c r="A315" s="22"/>
      <c r="B315" s="89"/>
      <c r="C315" s="149">
        <f>+H174</f>
        <v>8</v>
      </c>
      <c r="D315" s="13" t="s">
        <v>111</v>
      </c>
      <c r="E315" s="98"/>
      <c r="F315" s="101"/>
      <c r="I315"/>
      <c r="J315"/>
      <c r="K315"/>
      <c r="L315"/>
    </row>
    <row r="316" spans="1:20" x14ac:dyDescent="0.25">
      <c r="A316" s="22"/>
      <c r="B316" s="413" t="s">
        <v>453</v>
      </c>
      <c r="C316" s="102">
        <f>+F196</f>
        <v>12.67</v>
      </c>
      <c r="D316" s="13" t="s">
        <v>113</v>
      </c>
      <c r="E316" s="98"/>
      <c r="F316" s="101"/>
      <c r="I316"/>
      <c r="J316"/>
      <c r="K316"/>
      <c r="L316"/>
    </row>
    <row r="317" spans="1:20" x14ac:dyDescent="0.25">
      <c r="A317" s="22"/>
      <c r="B317" s="89" t="s">
        <v>114</v>
      </c>
      <c r="C317" s="406" t="s">
        <v>432</v>
      </c>
      <c r="E317" s="98"/>
      <c r="F317" s="101"/>
      <c r="I317"/>
      <c r="J317"/>
      <c r="K317"/>
      <c r="L317"/>
    </row>
    <row r="318" spans="1:20" x14ac:dyDescent="0.25">
      <c r="A318" s="22"/>
      <c r="B318" s="89" t="s">
        <v>115</v>
      </c>
      <c r="C318" s="412" t="s">
        <v>447</v>
      </c>
      <c r="E318" s="98"/>
      <c r="F318" s="101"/>
      <c r="I318"/>
      <c r="J318"/>
      <c r="K318"/>
      <c r="L318"/>
    </row>
    <row r="319" spans="1:20" x14ac:dyDescent="0.25">
      <c r="A319" s="22"/>
      <c r="B319" s="89"/>
      <c r="C319" s="412" t="s">
        <v>433</v>
      </c>
      <c r="E319" s="98"/>
      <c r="F319" s="101"/>
      <c r="I319"/>
      <c r="J319"/>
      <c r="K319"/>
      <c r="L319"/>
    </row>
    <row r="320" spans="1:20" x14ac:dyDescent="0.25">
      <c r="A320" s="22"/>
      <c r="B320" s="89" t="s">
        <v>116</v>
      </c>
      <c r="C320" s="406" t="s">
        <v>434</v>
      </c>
      <c r="E320" s="98"/>
      <c r="F320" s="101"/>
      <c r="I320"/>
      <c r="J320"/>
      <c r="K320"/>
      <c r="L320"/>
    </row>
    <row r="321" spans="1:12" x14ac:dyDescent="0.25">
      <c r="A321" s="22"/>
      <c r="B321" s="89" t="s">
        <v>285</v>
      </c>
      <c r="C321" s="13" t="s">
        <v>286</v>
      </c>
      <c r="E321" s="98"/>
      <c r="F321" s="101"/>
      <c r="I321"/>
      <c r="J321"/>
      <c r="K321"/>
      <c r="L321"/>
    </row>
    <row r="322" spans="1:12" x14ac:dyDescent="0.25">
      <c r="A322" s="22"/>
      <c r="B322" s="89" t="s">
        <v>282</v>
      </c>
      <c r="C322" s="13" t="s">
        <v>283</v>
      </c>
      <c r="E322" s="98"/>
      <c r="F322" s="101"/>
      <c r="I322"/>
      <c r="J322"/>
      <c r="K322"/>
      <c r="L322"/>
    </row>
    <row r="323" spans="1:12" x14ac:dyDescent="0.25">
      <c r="A323" s="22"/>
      <c r="B323" s="89" t="s">
        <v>118</v>
      </c>
      <c r="C323" s="13" t="s">
        <v>214</v>
      </c>
      <c r="E323" s="100"/>
      <c r="F323" s="101"/>
      <c r="I323"/>
      <c r="J323"/>
      <c r="K323"/>
      <c r="L323"/>
    </row>
    <row r="324" spans="1:12" x14ac:dyDescent="0.25">
      <c r="C324" s="13" t="s">
        <v>119</v>
      </c>
      <c r="E324" s="98"/>
      <c r="F324" s="101"/>
      <c r="I324"/>
      <c r="J324"/>
      <c r="K324"/>
      <c r="L324"/>
    </row>
    <row r="325" spans="1:12" x14ac:dyDescent="0.25">
      <c r="B325" s="89" t="s">
        <v>120</v>
      </c>
      <c r="C325" s="103" t="s">
        <v>189</v>
      </c>
      <c r="E325" s="98"/>
      <c r="F325" s="101"/>
      <c r="I325"/>
      <c r="J325"/>
      <c r="K325"/>
      <c r="L325"/>
    </row>
    <row r="326" spans="1:12" x14ac:dyDescent="0.25">
      <c r="A326" s="22"/>
      <c r="C326" s="103" t="s">
        <v>121</v>
      </c>
      <c r="E326" s="99"/>
      <c r="I326"/>
      <c r="J326"/>
      <c r="K326"/>
      <c r="L326"/>
    </row>
    <row r="327" spans="1:12" x14ac:dyDescent="0.25">
      <c r="C327" s="103" t="s">
        <v>188</v>
      </c>
      <c r="I327"/>
      <c r="J327"/>
      <c r="K327"/>
      <c r="L327"/>
    </row>
    <row r="328" spans="1:12" x14ac:dyDescent="0.25">
      <c r="A328" s="7"/>
      <c r="B328"/>
      <c r="C328"/>
      <c r="D328"/>
      <c r="E328" s="138"/>
      <c r="F328" s="4"/>
      <c r="G328"/>
      <c r="H328"/>
      <c r="I328"/>
      <c r="J328"/>
      <c r="K328"/>
      <c r="L328"/>
    </row>
    <row r="329" spans="1:12" x14ac:dyDescent="0.25">
      <c r="A329" s="7"/>
      <c r="B329"/>
      <c r="C329" s="9"/>
      <c r="D329"/>
      <c r="E329" s="138"/>
      <c r="F329" s="138"/>
      <c r="G329"/>
      <c r="H329"/>
      <c r="I329"/>
      <c r="J329"/>
      <c r="K329"/>
      <c r="L329"/>
    </row>
  </sheetData>
  <mergeCells count="17">
    <mergeCell ref="B212:L212"/>
    <mergeCell ref="B241:L241"/>
    <mergeCell ref="B242:L242"/>
    <mergeCell ref="B287:L287"/>
    <mergeCell ref="B288:L288"/>
    <mergeCell ref="B211:L211"/>
    <mergeCell ref="B1:L1"/>
    <mergeCell ref="B2:L2"/>
    <mergeCell ref="B3:L3"/>
    <mergeCell ref="B5:L5"/>
    <mergeCell ref="B52:L52"/>
    <mergeCell ref="B53:L53"/>
    <mergeCell ref="B103:L103"/>
    <mergeCell ref="B104:L104"/>
    <mergeCell ref="B143:L143"/>
    <mergeCell ref="B144:L144"/>
    <mergeCell ref="B181:F183"/>
  </mergeCells>
  <pageMargins left="0.97" right="0.79" top="0.69" bottom="0.69" header="0.33" footer="0.5"/>
  <pageSetup scale="60" orientation="landscape" r:id="rId1"/>
  <headerFooter alignWithMargins="0">
    <oddFooter>&amp;L&amp;F    &amp;A&amp;CPage &amp;P of &amp;N&amp;R&amp;D</oddFooter>
  </headerFooter>
  <rowBreaks count="6" manualBreakCount="6">
    <brk id="51" max="11" man="1"/>
    <brk id="102" max="11" man="1"/>
    <brk id="142" max="11" man="1"/>
    <brk id="209" max="11" man="1"/>
    <brk id="240" max="11" man="1"/>
    <brk id="286" max="11"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82"/>
  <sheetViews>
    <sheetView tabSelected="1" zoomScale="70" zoomScaleNormal="70" workbookViewId="0">
      <selection activeCell="X156" sqref="X156"/>
    </sheetView>
  </sheetViews>
  <sheetFormatPr defaultColWidth="9.109375" defaultRowHeight="13.2" x14ac:dyDescent="0.25"/>
  <cols>
    <col min="1" max="1" width="16.109375" style="12" customWidth="1"/>
    <col min="2" max="2" width="27.88671875" style="13" customWidth="1"/>
    <col min="3" max="3" width="11.88671875" style="13" customWidth="1"/>
    <col min="4" max="4" width="9.5546875" style="13" customWidth="1"/>
    <col min="5" max="5" width="14.44140625" style="13" customWidth="1"/>
    <col min="6" max="6" width="15" style="13" customWidth="1"/>
    <col min="7" max="7" width="16.88671875" style="13" bestFit="1" customWidth="1"/>
    <col min="8" max="9" width="14.109375" style="13" customWidth="1"/>
    <col min="10" max="10" width="15.88671875" style="13" customWidth="1"/>
    <col min="11" max="11" width="3.109375" style="13" hidden="1" customWidth="1"/>
    <col min="12" max="12" width="5.5546875" style="13" hidden="1" customWidth="1"/>
    <col min="13" max="14" width="4.5546875" style="13" hidden="1" customWidth="1"/>
    <col min="15" max="15" width="20.21875" style="13" hidden="1" customWidth="1"/>
    <col min="16" max="16" width="21.44140625" style="13" hidden="1" customWidth="1"/>
    <col min="17" max="17" width="14.77734375" style="13" hidden="1" customWidth="1"/>
    <col min="18" max="19" width="13.6640625" style="13" hidden="1" customWidth="1"/>
    <col min="20" max="20" width="14.21875" style="13" hidden="1" customWidth="1"/>
    <col min="21" max="21" width="14.109375" style="13" hidden="1" customWidth="1"/>
    <col min="22" max="22" width="13.6640625" style="13" hidden="1" customWidth="1"/>
    <col min="23" max="23" width="14.88671875" style="13" bestFit="1" customWidth="1"/>
    <col min="24" max="24" width="14.33203125" style="13" bestFit="1" customWidth="1"/>
    <col min="25" max="25" width="18" style="13" customWidth="1"/>
    <col min="26" max="26" width="14.109375" style="13" customWidth="1"/>
    <col min="27" max="27" width="13.6640625" style="13" customWidth="1"/>
    <col min="28" max="28" width="13.5546875" style="13" customWidth="1"/>
    <col min="29" max="29" width="13.6640625" style="13" customWidth="1"/>
    <col min="30" max="30" width="17.5546875" style="13" customWidth="1"/>
    <col min="31" max="31" width="16.6640625" style="13" customWidth="1"/>
    <col min="32" max="32" width="14.44140625" style="13" customWidth="1"/>
    <col min="33" max="16384" width="9.109375" style="13"/>
  </cols>
  <sheetData>
    <row r="1" spans="1:16" ht="15.6" x14ac:dyDescent="0.3">
      <c r="B1" s="534" t="s">
        <v>69</v>
      </c>
      <c r="C1" s="534"/>
      <c r="D1" s="534"/>
      <c r="E1" s="534"/>
      <c r="F1" s="534"/>
      <c r="G1" s="534"/>
      <c r="H1" s="534"/>
      <c r="I1" s="534"/>
      <c r="J1" s="534"/>
      <c r="K1" s="534"/>
      <c r="L1" s="534"/>
      <c r="M1" s="534"/>
      <c r="N1" s="534"/>
    </row>
    <row r="2" spans="1:16" ht="15.6" x14ac:dyDescent="0.3">
      <c r="B2" s="534" t="s">
        <v>187</v>
      </c>
      <c r="C2" s="534"/>
      <c r="D2" s="534"/>
      <c r="E2" s="534"/>
      <c r="F2" s="534"/>
      <c r="G2" s="534"/>
      <c r="H2" s="534"/>
      <c r="I2" s="534"/>
      <c r="J2" s="534"/>
      <c r="K2" s="534"/>
      <c r="L2" s="534"/>
      <c r="M2" s="534"/>
      <c r="N2" s="534"/>
    </row>
    <row r="3" spans="1:16" ht="15.6" x14ac:dyDescent="0.3">
      <c r="B3" s="534" t="str">
        <f>'BGS PTY16 Cost Alloc'!$B$3</f>
        <v>2018 BGS Auction Cost and Bid Factor Tables</v>
      </c>
      <c r="C3" s="534"/>
      <c r="D3" s="534"/>
      <c r="E3" s="534"/>
      <c r="F3" s="534"/>
      <c r="G3" s="534"/>
      <c r="H3" s="534"/>
      <c r="I3" s="534"/>
      <c r="J3" s="534"/>
      <c r="K3" s="534"/>
      <c r="L3" s="534"/>
      <c r="M3" s="534"/>
      <c r="N3" s="534"/>
    </row>
    <row r="4" spans="1:16" ht="15.6" x14ac:dyDescent="0.3">
      <c r="B4" s="167"/>
      <c r="C4" s="167"/>
      <c r="D4" s="167"/>
      <c r="E4" s="167"/>
      <c r="F4" s="167"/>
      <c r="G4" s="167"/>
      <c r="H4" s="167"/>
      <c r="I4" s="167"/>
      <c r="J4" s="167"/>
      <c r="K4" s="167"/>
      <c r="L4" s="167"/>
      <c r="M4" s="167"/>
      <c r="N4" s="167"/>
    </row>
    <row r="5" spans="1:16" ht="15.6" x14ac:dyDescent="0.3">
      <c r="B5" s="534" t="s">
        <v>414</v>
      </c>
      <c r="C5" s="534"/>
      <c r="D5" s="534"/>
      <c r="E5" s="534"/>
      <c r="F5" s="534"/>
      <c r="G5" s="534"/>
      <c r="H5" s="534"/>
      <c r="I5" s="534"/>
      <c r="J5" s="534"/>
      <c r="K5" s="534"/>
      <c r="L5" s="534"/>
      <c r="M5" s="534"/>
      <c r="N5" s="534"/>
    </row>
    <row r="6" spans="1:16" x14ac:dyDescent="0.25">
      <c r="N6" s="121" t="s">
        <v>256</v>
      </c>
    </row>
    <row r="7" spans="1:16" x14ac:dyDescent="0.25">
      <c r="A7" s="18" t="s">
        <v>257</v>
      </c>
      <c r="B7" s="173" t="s">
        <v>388</v>
      </c>
      <c r="C7" s="20"/>
      <c r="E7" s="166" t="s">
        <v>307</v>
      </c>
      <c r="F7" s="314">
        <v>18</v>
      </c>
      <c r="G7" s="16"/>
      <c r="P7" s="295" t="s">
        <v>256</v>
      </c>
    </row>
    <row r="8" spans="1:16" ht="14.25" customHeight="1" x14ac:dyDescent="0.25">
      <c r="A8" s="22"/>
      <c r="B8" s="13" t="s">
        <v>239</v>
      </c>
      <c r="C8" s="23"/>
      <c r="D8" s="23"/>
      <c r="M8" s="23"/>
      <c r="N8" s="23"/>
    </row>
    <row r="9" spans="1:16" x14ac:dyDescent="0.25">
      <c r="A9" s="22"/>
    </row>
    <row r="10" spans="1:16" x14ac:dyDescent="0.25">
      <c r="A10" s="22"/>
      <c r="B10" t="s">
        <v>134</v>
      </c>
      <c r="C10"/>
      <c r="D10"/>
      <c r="E10" s="26" t="s">
        <v>61</v>
      </c>
      <c r="F10" s="26" t="s">
        <v>62</v>
      </c>
      <c r="G10" s="26" t="s">
        <v>65</v>
      </c>
      <c r="H10" s="26" t="s">
        <v>203</v>
      </c>
      <c r="I10" s="26" t="s">
        <v>55</v>
      </c>
      <c r="J10"/>
      <c r="K10"/>
      <c r="L10"/>
      <c r="M10" s="30"/>
      <c r="N10" s="30"/>
    </row>
    <row r="11" spans="1:16" x14ac:dyDescent="0.25">
      <c r="A11" s="22"/>
      <c r="B11" s="28" t="s">
        <v>17</v>
      </c>
      <c r="C11" s="150"/>
      <c r="D11" s="150"/>
      <c r="E11" s="150">
        <f>'BGS PTY14 Cost Alloc'!E266</f>
        <v>185.65443691465885</v>
      </c>
      <c r="F11" s="150"/>
      <c r="G11" s="150">
        <f>'BGS PTY14 Cost Alloc'!G266</f>
        <v>184068.46035010956</v>
      </c>
      <c r="H11" s="145"/>
      <c r="I11" s="150">
        <f>'BGS PTY14 Cost Alloc'!I266</f>
        <v>2264.037196848029</v>
      </c>
      <c r="J11" s="150"/>
      <c r="K11" s="150"/>
      <c r="L11" s="150"/>
      <c r="M11" s="30"/>
      <c r="N11" s="30"/>
    </row>
    <row r="12" spans="1:16" x14ac:dyDescent="0.25">
      <c r="A12" s="22"/>
      <c r="B12" s="77" t="s">
        <v>72</v>
      </c>
      <c r="C12" s="150"/>
      <c r="D12" s="150"/>
      <c r="E12" s="150">
        <f>'BGS PTY14 Cost Alloc'!E267</f>
        <v>4165.654609571855</v>
      </c>
      <c r="F12" s="150"/>
      <c r="G12" s="150"/>
      <c r="H12" s="150">
        <f>'BGS PTY14 Cost Alloc'!H267</f>
        <v>2034.179044972966</v>
      </c>
      <c r="I12" s="150"/>
      <c r="J12" s="150"/>
      <c r="K12" s="150"/>
      <c r="L12" s="150"/>
      <c r="M12" s="30"/>
      <c r="N12" s="30"/>
    </row>
    <row r="13" spans="1:16" x14ac:dyDescent="0.25">
      <c r="A13" s="22"/>
      <c r="B13" s="77" t="s">
        <v>73</v>
      </c>
      <c r="C13" s="150"/>
      <c r="D13" s="150"/>
      <c r="E13" s="150">
        <f>'BGS PTY14 Cost Alloc'!E268</f>
        <v>2447.9443357623823</v>
      </c>
      <c r="F13" s="150"/>
      <c r="G13" s="150"/>
      <c r="H13" s="150">
        <f>'BGS PTY14 Cost Alloc'!H268</f>
        <v>989.26813802898482</v>
      </c>
      <c r="I13" s="150"/>
      <c r="J13" s="150"/>
      <c r="K13" s="150"/>
      <c r="L13" s="150"/>
      <c r="M13" s="30"/>
      <c r="N13" s="30"/>
    </row>
    <row r="14" spans="1:16" x14ac:dyDescent="0.25">
      <c r="A14" s="22"/>
      <c r="B14" s="89" t="s">
        <v>142</v>
      </c>
      <c r="C14" s="150"/>
      <c r="D14" s="150"/>
      <c r="E14" s="150"/>
      <c r="F14" s="150">
        <f>'BGS PTY14 Cost Alloc'!F269</f>
        <v>153824.919298163</v>
      </c>
      <c r="G14" s="150"/>
      <c r="H14" s="145"/>
      <c r="I14" s="150"/>
      <c r="J14" s="150"/>
      <c r="K14" s="150"/>
      <c r="L14" s="150"/>
      <c r="M14" s="30"/>
      <c r="N14" s="30"/>
    </row>
    <row r="15" spans="1:16" x14ac:dyDescent="0.25">
      <c r="A15" s="22"/>
      <c r="B15" s="89" t="s">
        <v>144</v>
      </c>
      <c r="C15" s="150"/>
      <c r="D15" s="150"/>
      <c r="E15" s="150"/>
      <c r="F15" s="150">
        <f>'BGS PTY14 Cost Alloc'!F270</f>
        <v>151944.755424926</v>
      </c>
      <c r="G15" s="150"/>
      <c r="H15" s="145"/>
      <c r="I15" s="150"/>
      <c r="J15" s="150"/>
      <c r="K15" s="150"/>
      <c r="L15" s="150"/>
      <c r="M15" s="30"/>
      <c r="N15" s="30"/>
    </row>
    <row r="16" spans="1:16" x14ac:dyDescent="0.25">
      <c r="A16" s="22"/>
      <c r="C16" s="150"/>
      <c r="D16" s="150"/>
      <c r="E16" s="150"/>
      <c r="F16" s="150"/>
      <c r="G16" s="150"/>
      <c r="H16" s="145"/>
      <c r="I16" s="150"/>
      <c r="J16" s="150"/>
      <c r="K16" s="150"/>
      <c r="L16" s="150"/>
      <c r="M16" s="30"/>
      <c r="N16" s="30"/>
    </row>
    <row r="17" spans="1:16" x14ac:dyDescent="0.25">
      <c r="A17" s="22"/>
      <c r="B17" s="28" t="s">
        <v>18</v>
      </c>
      <c r="C17" s="150"/>
      <c r="D17" s="150"/>
      <c r="E17" s="150">
        <f>'BGS PTY14 Cost Alloc'!E272</f>
        <v>359.68831553358962</v>
      </c>
      <c r="F17" s="150">
        <f>'BGS PTY14 Cost Alloc'!F272</f>
        <v>441641.01778536162</v>
      </c>
      <c r="G17" s="150">
        <f>'BGS PTY14 Cost Alloc'!G272</f>
        <v>309452.08855510503</v>
      </c>
      <c r="I17" s="150">
        <f>'BGS PTY14 Cost Alloc'!I272</f>
        <v>4497.3465426363855</v>
      </c>
      <c r="J17" s="150"/>
      <c r="K17" s="150"/>
      <c r="L17" s="150"/>
      <c r="M17" s="30"/>
      <c r="N17" s="30"/>
    </row>
    <row r="18" spans="1:16" x14ac:dyDescent="0.25">
      <c r="A18" s="22"/>
      <c r="B18" s="77" t="s">
        <v>72</v>
      </c>
      <c r="C18" s="150"/>
      <c r="D18" s="150"/>
      <c r="E18" s="150">
        <f>'BGS PTY14 Cost Alloc'!E273</f>
        <v>7434.6297859660217</v>
      </c>
      <c r="F18" s="3"/>
      <c r="G18" s="3"/>
      <c r="H18" s="150">
        <f>'BGS PTY14 Cost Alloc'!H273</f>
        <v>4331.019620585439</v>
      </c>
      <c r="I18" s="3"/>
      <c r="J18" s="150"/>
      <c r="K18" s="150"/>
      <c r="L18" s="150"/>
      <c r="M18" s="30"/>
      <c r="N18" s="30"/>
    </row>
    <row r="19" spans="1:16" x14ac:dyDescent="0.25">
      <c r="A19" s="22"/>
      <c r="B19" s="77" t="s">
        <v>73</v>
      </c>
      <c r="C19" s="3"/>
      <c r="D19" s="3"/>
      <c r="E19" s="150">
        <f>'BGS PTY14 Cost Alloc'!E274</f>
        <v>5760.8435907917155</v>
      </c>
      <c r="H19" s="150">
        <f>'BGS PTY14 Cost Alloc'!H274</f>
        <v>2720.688015252912</v>
      </c>
      <c r="J19" s="150"/>
      <c r="K19" s="150"/>
      <c r="L19" s="150"/>
      <c r="M19" s="30"/>
      <c r="N19" s="30"/>
    </row>
    <row r="20" spans="1:16" x14ac:dyDescent="0.25">
      <c r="A20" s="22"/>
      <c r="B20" s="5"/>
      <c r="C20"/>
      <c r="D20"/>
      <c r="E20"/>
      <c r="F20"/>
      <c r="G20"/>
      <c r="H20"/>
      <c r="I20"/>
      <c r="J20"/>
      <c r="K20"/>
      <c r="L20"/>
      <c r="M20" s="30"/>
      <c r="N20" s="30"/>
    </row>
    <row r="21" spans="1:16" x14ac:dyDescent="0.25">
      <c r="A21" s="22"/>
      <c r="B21" t="s">
        <v>135</v>
      </c>
      <c r="C21"/>
      <c r="D21"/>
      <c r="E21"/>
      <c r="F21"/>
      <c r="G21"/>
      <c r="H21"/>
      <c r="I21"/>
      <c r="J21"/>
      <c r="K21"/>
      <c r="L21"/>
      <c r="M21" s="30"/>
      <c r="N21" s="30"/>
    </row>
    <row r="22" spans="1:16" x14ac:dyDescent="0.25">
      <c r="A22" s="22"/>
      <c r="B22" s="5" t="s">
        <v>25</v>
      </c>
      <c r="D22"/>
      <c r="E22" s="3">
        <f>SUM(E11:E15)</f>
        <v>6799.2533822488958</v>
      </c>
      <c r="F22" s="3">
        <f>SUM(F11:F15)</f>
        <v>305769.67472308897</v>
      </c>
      <c r="G22" s="3">
        <f>SUM(G11:G15)</f>
        <v>184068.46035010956</v>
      </c>
      <c r="H22" s="3">
        <f>SUM(H11:H15)</f>
        <v>3023.4471830019511</v>
      </c>
      <c r="I22" s="3">
        <f>SUM(I11:I15)</f>
        <v>2264.037196848029</v>
      </c>
      <c r="J22" s="152">
        <f>SUM(E22:I22)</f>
        <v>501924.87283529743</v>
      </c>
      <c r="K22" s="152"/>
      <c r="L22" s="152"/>
      <c r="M22" s="31"/>
      <c r="N22" s="31"/>
    </row>
    <row r="23" spans="1:16" x14ac:dyDescent="0.25">
      <c r="A23" s="22"/>
      <c r="B23" s="5" t="s">
        <v>26</v>
      </c>
      <c r="D23"/>
      <c r="E23" s="3">
        <f>SUM(E17:E19)</f>
        <v>13555.161692291327</v>
      </c>
      <c r="F23" s="3">
        <f>SUM(F17:F19)</f>
        <v>441641.01778536162</v>
      </c>
      <c r="G23" s="3">
        <f>SUM(G17:G19)</f>
        <v>309452.08855510503</v>
      </c>
      <c r="H23" s="3">
        <f>SUM(H17:H19)</f>
        <v>7051.7076358383511</v>
      </c>
      <c r="I23" s="3">
        <f>SUM(I17:I19)</f>
        <v>4497.3465426363855</v>
      </c>
      <c r="J23" s="152">
        <f>SUM(E23:I23)</f>
        <v>776197.32221123273</v>
      </c>
      <c r="K23" s="152"/>
      <c r="L23" s="152"/>
      <c r="M23" s="31"/>
      <c r="N23" s="31"/>
    </row>
    <row r="24" spans="1:16" x14ac:dyDescent="0.25">
      <c r="A24" s="18"/>
      <c r="B24" s="5" t="s">
        <v>13</v>
      </c>
      <c r="D24"/>
      <c r="E24" s="3">
        <f>SUM(E22:E23)</f>
        <v>20354.415074540222</v>
      </c>
      <c r="F24" s="3">
        <f>SUM(F22:F23)</f>
        <v>747410.69250845059</v>
      </c>
      <c r="G24" s="3">
        <f>SUM(G22:G23)</f>
        <v>493520.54890521459</v>
      </c>
      <c r="H24" s="3">
        <f>SUM(H22:H23)</f>
        <v>10075.154818840303</v>
      </c>
      <c r="I24" s="3">
        <f>SUM(I22:I23)</f>
        <v>6761.383739484414</v>
      </c>
      <c r="J24" s="3">
        <f>SUM(E24:I24)</f>
        <v>1278122.1950465301</v>
      </c>
      <c r="K24" s="3"/>
      <c r="L24" s="3"/>
      <c r="M24" s="31"/>
      <c r="N24" s="31"/>
    </row>
    <row r="25" spans="1:16" x14ac:dyDescent="0.25">
      <c r="A25" s="22"/>
      <c r="B25" s="24"/>
      <c r="C25" s="26"/>
      <c r="D25" s="26"/>
      <c r="E25" s="26"/>
      <c r="F25" s="26"/>
      <c r="G25" s="26"/>
      <c r="H25" s="26"/>
      <c r="I25" s="26"/>
      <c r="J25" s="26"/>
      <c r="K25" s="26"/>
      <c r="L25" s="26"/>
      <c r="M25" s="26"/>
      <c r="N25" s="26"/>
    </row>
    <row r="26" spans="1:16" x14ac:dyDescent="0.25">
      <c r="A26" s="22"/>
      <c r="B26" s="24"/>
      <c r="C26" s="26"/>
      <c r="D26" s="26"/>
      <c r="E26" s="26"/>
      <c r="F26" s="26"/>
      <c r="G26" s="26"/>
      <c r="H26" s="26"/>
      <c r="I26" s="26"/>
      <c r="J26" s="26"/>
      <c r="K26" s="26"/>
      <c r="L26" s="26"/>
      <c r="M26" s="26"/>
      <c r="N26" s="26"/>
    </row>
    <row r="27" spans="1:16" x14ac:dyDescent="0.25">
      <c r="A27" s="22"/>
    </row>
    <row r="28" spans="1:16" x14ac:dyDescent="0.25">
      <c r="A28" s="18" t="s">
        <v>258</v>
      </c>
      <c r="B28" s="173" t="s">
        <v>429</v>
      </c>
      <c r="C28" s="20"/>
      <c r="E28" s="166" t="s">
        <v>307</v>
      </c>
      <c r="F28" s="314">
        <v>15</v>
      </c>
      <c r="G28" s="16" t="s">
        <v>256</v>
      </c>
      <c r="P28" s="295" t="s">
        <v>256</v>
      </c>
    </row>
    <row r="29" spans="1:16" x14ac:dyDescent="0.25">
      <c r="A29" s="22"/>
      <c r="B29" s="13" t="s">
        <v>239</v>
      </c>
      <c r="C29" s="23"/>
      <c r="D29" s="23"/>
    </row>
    <row r="30" spans="1:16" x14ac:dyDescent="0.25">
      <c r="A30" s="22"/>
    </row>
    <row r="31" spans="1:16" x14ac:dyDescent="0.25">
      <c r="A31" s="22"/>
      <c r="B31" t="s">
        <v>134</v>
      </c>
      <c r="C31"/>
      <c r="D31"/>
      <c r="E31" s="26" t="s">
        <v>61</v>
      </c>
      <c r="F31" s="26" t="s">
        <v>62</v>
      </c>
      <c r="G31" s="26" t="s">
        <v>65</v>
      </c>
      <c r="H31" s="26" t="s">
        <v>203</v>
      </c>
      <c r="I31" s="26" t="s">
        <v>55</v>
      </c>
      <c r="J31"/>
      <c r="K31"/>
      <c r="L31"/>
    </row>
    <row r="32" spans="1:16" x14ac:dyDescent="0.25">
      <c r="A32" s="22"/>
      <c r="B32" s="28" t="s">
        <v>17</v>
      </c>
      <c r="C32" s="150"/>
      <c r="D32" s="150"/>
      <c r="E32" s="150">
        <f>'BGS PTY15 Cost Alloc'!E265</f>
        <v>173.04563903509865</v>
      </c>
      <c r="F32" s="150"/>
      <c r="G32" s="150">
        <f>'BGS PTY15 Cost Alloc'!G265</f>
        <v>169452.17808774527</v>
      </c>
      <c r="H32" s="145"/>
      <c r="I32" s="150">
        <f>'BGS PTY15 Cost Alloc'!I265</f>
        <v>2074.7880002964353</v>
      </c>
      <c r="J32" s="150"/>
      <c r="K32" s="150"/>
      <c r="L32" s="150"/>
    </row>
    <row r="33" spans="1:12" x14ac:dyDescent="0.25">
      <c r="A33" s="22"/>
      <c r="B33" s="77" t="s">
        <v>72</v>
      </c>
      <c r="C33" s="150"/>
      <c r="D33" s="150"/>
      <c r="E33" s="150">
        <f>'BGS PTY15 Cost Alloc'!E266</f>
        <v>3900.2688555160457</v>
      </c>
      <c r="F33" s="150"/>
      <c r="G33" s="150"/>
      <c r="H33" s="150">
        <f>'BGS PTY15 Cost Alloc'!H266</f>
        <v>1895.9757529164999</v>
      </c>
      <c r="I33" s="150"/>
      <c r="J33" s="150"/>
      <c r="K33" s="150"/>
      <c r="L33" s="150"/>
    </row>
    <row r="34" spans="1:12" x14ac:dyDescent="0.25">
      <c r="A34" s="22"/>
      <c r="B34" s="77" t="s">
        <v>73</v>
      </c>
      <c r="C34" s="150"/>
      <c r="D34" s="150"/>
      <c r="E34" s="150">
        <f>'BGS PTY15 Cost Alloc'!E267</f>
        <v>2264.1619118191848</v>
      </c>
      <c r="F34" s="150"/>
      <c r="G34" s="150"/>
      <c r="H34" s="150">
        <f>'BGS PTY15 Cost Alloc'!H267</f>
        <v>910.17012782214738</v>
      </c>
      <c r="I34" s="150"/>
      <c r="J34" s="150"/>
      <c r="K34" s="150"/>
      <c r="L34" s="150"/>
    </row>
    <row r="35" spans="1:12" x14ac:dyDescent="0.25">
      <c r="A35" s="22"/>
      <c r="B35" s="89" t="s">
        <v>142</v>
      </c>
      <c r="C35" s="150"/>
      <c r="D35" s="150"/>
      <c r="E35" s="150"/>
      <c r="F35" s="150">
        <f>'BGS PTY15 Cost Alloc'!F268</f>
        <v>141550.33001371849</v>
      </c>
      <c r="G35" s="150"/>
      <c r="H35" s="145"/>
      <c r="I35" s="150"/>
      <c r="J35" s="150"/>
      <c r="K35" s="150"/>
      <c r="L35" s="150"/>
    </row>
    <row r="36" spans="1:12" x14ac:dyDescent="0.25">
      <c r="A36" s="22"/>
      <c r="B36" s="89" t="s">
        <v>144</v>
      </c>
      <c r="C36" s="150"/>
      <c r="D36" s="150"/>
      <c r="E36" s="150"/>
      <c r="F36" s="150">
        <f>'BGS PTY15 Cost Alloc'!F269</f>
        <v>141011.72715247632</v>
      </c>
      <c r="G36" s="150"/>
      <c r="H36" s="145"/>
      <c r="I36" s="150"/>
      <c r="J36" s="150"/>
      <c r="K36" s="150"/>
      <c r="L36" s="150"/>
    </row>
    <row r="37" spans="1:12" x14ac:dyDescent="0.25">
      <c r="A37" s="22"/>
      <c r="C37" s="150"/>
      <c r="D37" s="150"/>
      <c r="E37" s="150"/>
      <c r="F37" s="150"/>
      <c r="G37" s="150"/>
      <c r="H37" s="145"/>
      <c r="I37" s="150"/>
      <c r="J37" s="150"/>
      <c r="K37" s="150"/>
      <c r="L37" s="150"/>
    </row>
    <row r="38" spans="1:12" x14ac:dyDescent="0.25">
      <c r="A38" s="22"/>
      <c r="B38" s="28" t="s">
        <v>18</v>
      </c>
      <c r="C38" s="150"/>
      <c r="D38" s="150"/>
      <c r="E38" s="150">
        <f>'BGS PTY15 Cost Alloc'!E271</f>
        <v>333.1413940304148</v>
      </c>
      <c r="F38" s="150">
        <f>'BGS PTY15 Cost Alloc'!F271</f>
        <v>409536.43798815756</v>
      </c>
      <c r="G38" s="150">
        <f>'BGS PTY15 Cost Alloc'!G271</f>
        <v>283763.42043137475</v>
      </c>
      <c r="I38" s="150">
        <f>'BGS PTY15 Cost Alloc'!I271</f>
        <v>4037.8210319498066</v>
      </c>
      <c r="J38" s="150"/>
      <c r="K38" s="150"/>
      <c r="L38" s="150"/>
    </row>
    <row r="39" spans="1:12" x14ac:dyDescent="0.25">
      <c r="A39" s="22"/>
      <c r="B39" s="77" t="s">
        <v>72</v>
      </c>
      <c r="C39" s="150"/>
      <c r="D39" s="150"/>
      <c r="E39" s="150">
        <f>'BGS PTY15 Cost Alloc'!E272</f>
        <v>6980.9735474018999</v>
      </c>
      <c r="F39" s="3"/>
      <c r="G39" s="3"/>
      <c r="H39" s="150">
        <f>'BGS PTY15 Cost Alloc'!H272</f>
        <v>4007.2831583456473</v>
      </c>
      <c r="I39" s="3"/>
      <c r="J39" s="150"/>
      <c r="K39" s="150"/>
      <c r="L39" s="150"/>
    </row>
    <row r="40" spans="1:12" x14ac:dyDescent="0.25">
      <c r="A40" s="22"/>
      <c r="B40" s="77" t="s">
        <v>73</v>
      </c>
      <c r="C40" s="3"/>
      <c r="D40" s="3"/>
      <c r="E40" s="150">
        <f>'BGS PTY15 Cost Alloc'!E273</f>
        <v>5240.6086308045342</v>
      </c>
      <c r="H40" s="150">
        <f>'BGS PTY15 Cost Alloc'!H273</f>
        <v>2462.333800889754</v>
      </c>
      <c r="J40" s="150"/>
      <c r="K40" s="150"/>
      <c r="L40" s="150"/>
    </row>
    <row r="41" spans="1:12" x14ac:dyDescent="0.25">
      <c r="A41" s="22"/>
      <c r="B41" s="5"/>
      <c r="C41"/>
      <c r="D41"/>
      <c r="E41"/>
      <c r="F41"/>
      <c r="G41"/>
      <c r="H41"/>
      <c r="I41"/>
      <c r="J41"/>
      <c r="K41"/>
      <c r="L41"/>
    </row>
    <row r="42" spans="1:12" x14ac:dyDescent="0.25">
      <c r="A42" s="22"/>
      <c r="B42" t="s">
        <v>135</v>
      </c>
      <c r="C42"/>
      <c r="D42"/>
      <c r="E42"/>
      <c r="F42"/>
      <c r="G42"/>
      <c r="H42"/>
      <c r="I42"/>
      <c r="J42"/>
      <c r="K42"/>
      <c r="L42"/>
    </row>
    <row r="43" spans="1:12" x14ac:dyDescent="0.25">
      <c r="A43" s="22"/>
      <c r="B43" s="5" t="s">
        <v>25</v>
      </c>
      <c r="D43"/>
      <c r="E43" s="3">
        <f>SUM(E32:E36)</f>
        <v>6337.4764063703296</v>
      </c>
      <c r="F43" s="3">
        <f>SUM(F32:F36)</f>
        <v>282562.05716619478</v>
      </c>
      <c r="G43" s="3">
        <f>SUM(G32:G36)</f>
        <v>169452.17808774527</v>
      </c>
      <c r="H43" s="3">
        <f>SUM(H32:H36)</f>
        <v>2806.1458807386471</v>
      </c>
      <c r="I43" s="3">
        <f>SUM(I32:I36)</f>
        <v>2074.7880002964353</v>
      </c>
      <c r="J43" s="152">
        <f>SUM(E43:I43)</f>
        <v>463232.64554134547</v>
      </c>
      <c r="K43" s="152"/>
      <c r="L43" s="152"/>
    </row>
    <row r="44" spans="1:12" x14ac:dyDescent="0.25">
      <c r="A44" s="22"/>
      <c r="B44" s="5" t="s">
        <v>26</v>
      </c>
      <c r="D44"/>
      <c r="E44" s="3">
        <f>SUM(E38:E40)</f>
        <v>12554.72357223685</v>
      </c>
      <c r="F44" s="3">
        <f>SUM(F38:F40)</f>
        <v>409536.43798815756</v>
      </c>
      <c r="G44" s="3">
        <f>SUM(G38:G40)</f>
        <v>283763.42043137475</v>
      </c>
      <c r="H44" s="3">
        <f>SUM(H38:H40)</f>
        <v>6469.6169592354017</v>
      </c>
      <c r="I44" s="3">
        <f>SUM(I38:I40)</f>
        <v>4037.8210319498066</v>
      </c>
      <c r="J44" s="152">
        <f>SUM(E44:I44)</f>
        <v>716362.01998295437</v>
      </c>
      <c r="K44" s="152"/>
      <c r="L44" s="152"/>
    </row>
    <row r="45" spans="1:12" x14ac:dyDescent="0.25">
      <c r="A45" s="18"/>
      <c r="B45" s="5" t="s">
        <v>13</v>
      </c>
      <c r="D45"/>
      <c r="E45" s="3">
        <f>SUM(E43:E44)</f>
        <v>18892.199978607179</v>
      </c>
      <c r="F45" s="3">
        <f>SUM(F43:F44)</f>
        <v>692098.49515435239</v>
      </c>
      <c r="G45" s="3">
        <f>SUM(G43:G44)</f>
        <v>453215.59851912002</v>
      </c>
      <c r="H45" s="3">
        <f>SUM(H43:H44)</f>
        <v>9275.7628399740497</v>
      </c>
      <c r="I45" s="3">
        <f>SUM(I43:I44)</f>
        <v>6112.6090322462424</v>
      </c>
      <c r="J45" s="3">
        <f>SUM(E45:I45)</f>
        <v>1179594.6655243</v>
      </c>
      <c r="K45" s="3"/>
      <c r="L45" s="3"/>
    </row>
    <row r="46" spans="1:12" x14ac:dyDescent="0.25">
      <c r="A46" s="18"/>
      <c r="B46" s="5"/>
      <c r="D46"/>
      <c r="E46" s="3"/>
      <c r="F46" s="3"/>
      <c r="G46" s="3"/>
      <c r="H46" s="3"/>
      <c r="I46" s="3"/>
      <c r="J46" s="3"/>
      <c r="K46" s="3"/>
      <c r="L46" s="3"/>
    </row>
    <row r="47" spans="1:12" x14ac:dyDescent="0.25">
      <c r="A47" s="13"/>
      <c r="B47" s="36" t="str">
        <f>'BGS PTY16 Cost Alloc'!B46</f>
        <v>{1} For BGS purposes the RT rate class includes the RS and GS rate class Off-Peak (OPWH) and Controlled Water Heating (CTWH) provisions.  The RT rate class also includes the</v>
      </c>
      <c r="D47"/>
      <c r="E47" s="3"/>
      <c r="F47" s="3"/>
      <c r="G47" s="3"/>
      <c r="H47" s="3"/>
      <c r="I47" s="3"/>
      <c r="J47" s="3"/>
      <c r="K47" s="3"/>
      <c r="L47" s="3"/>
    </row>
    <row r="48" spans="1:12" x14ac:dyDescent="0.25">
      <c r="A48" s="13"/>
      <c r="B48" s="36" t="str">
        <f>'BGS PTY16 Cost Alloc'!B47</f>
        <v xml:space="preserve">  summer billing month RGT rate class usage.  OPWH and CTWH is billed on the average RT rates, while RT and Summer RGT use is billed at on-peak and off-peak rates.</v>
      </c>
      <c r="D48"/>
      <c r="E48" s="3"/>
      <c r="F48" s="3"/>
      <c r="G48" s="3"/>
      <c r="H48" s="3"/>
      <c r="I48" s="3"/>
      <c r="J48" s="3"/>
      <c r="K48" s="3"/>
      <c r="L48" s="3"/>
    </row>
    <row r="49" spans="1:16" x14ac:dyDescent="0.25">
      <c r="A49" s="13"/>
      <c r="B49" s="36" t="str">
        <f>'BGS PTY16 Cost Alloc'!B48</f>
        <v xml:space="preserve">{2} For BGS purposes the RS rate class excludes the Off-Peak and Controlled Water Heating provisions and includes  </v>
      </c>
      <c r="D49"/>
      <c r="E49" s="3"/>
      <c r="F49" s="3"/>
      <c r="G49" s="3"/>
      <c r="H49" s="3"/>
      <c r="I49" s="3"/>
      <c r="J49" s="3"/>
      <c r="K49" s="3"/>
      <c r="L49" s="3"/>
    </row>
    <row r="50" spans="1:16" x14ac:dyDescent="0.25">
      <c r="A50" s="13"/>
      <c r="B50" s="36" t="str">
        <f>'BGS PTY16 Cost Alloc'!B49</f>
        <v xml:space="preserve">     the winter billing month RGT rate class usage</v>
      </c>
      <c r="D50"/>
      <c r="E50" s="3"/>
      <c r="F50" s="3"/>
      <c r="G50" s="3"/>
      <c r="H50" s="3"/>
      <c r="I50" s="3"/>
      <c r="J50" s="3"/>
      <c r="K50" s="3"/>
      <c r="L50" s="3"/>
    </row>
    <row r="51" spans="1:16" x14ac:dyDescent="0.25">
      <c r="A51" s="13"/>
      <c r="B51" s="36" t="str">
        <f>'BGS PTY16 Cost Alloc'!B50</f>
        <v>{3} For BGS purposes the GS rate class excludes the Off-Peak and Controlled Water Heating provisions</v>
      </c>
      <c r="D51"/>
      <c r="E51" s="3"/>
      <c r="F51" s="3"/>
      <c r="G51" s="3"/>
      <c r="H51" s="3"/>
      <c r="I51" s="3"/>
      <c r="J51" s="3"/>
      <c r="K51" s="3"/>
      <c r="L51" s="3"/>
    </row>
    <row r="52" spans="1:16" x14ac:dyDescent="0.25">
      <c r="A52" s="36"/>
      <c r="B52" s="165" t="str">
        <f>'BGS PTY16 Cost Alloc'!B101</f>
        <v>{4} The GS and GST units exclude the units associated with the 500 kW and above PLS accounts that will be required to take service under BGS-CIEP</v>
      </c>
      <c r="D52"/>
      <c r="E52" s="3"/>
      <c r="F52" s="3"/>
      <c r="G52" s="3"/>
      <c r="H52" s="3"/>
      <c r="I52" s="3"/>
      <c r="J52" s="3"/>
      <c r="K52" s="3"/>
      <c r="L52" s="3"/>
    </row>
    <row r="53" spans="1:16" x14ac:dyDescent="0.25">
      <c r="A53" s="13"/>
      <c r="B53" s="165" t="str">
        <f>'BGS PTY16 Cost Alloc'!B102</f>
        <v xml:space="preserve"> </v>
      </c>
    </row>
    <row r="54" spans="1:16" ht="15.6" x14ac:dyDescent="0.3">
      <c r="B54" s="534" t="s">
        <v>69</v>
      </c>
      <c r="C54" s="534"/>
      <c r="D54" s="534"/>
      <c r="E54" s="534"/>
      <c r="F54" s="534"/>
      <c r="G54" s="534"/>
      <c r="H54" s="534"/>
      <c r="I54" s="534"/>
      <c r="J54" s="534"/>
      <c r="K54" s="534"/>
      <c r="L54" s="534"/>
      <c r="M54" s="534"/>
      <c r="N54" s="534"/>
    </row>
    <row r="55" spans="1:16" ht="15.6" x14ac:dyDescent="0.3">
      <c r="B55" s="534" t="s">
        <v>187</v>
      </c>
      <c r="C55" s="534"/>
      <c r="D55" s="534"/>
      <c r="E55" s="534"/>
      <c r="F55" s="534"/>
      <c r="G55" s="534"/>
      <c r="H55" s="534"/>
      <c r="I55" s="534"/>
      <c r="J55" s="534"/>
      <c r="K55" s="534"/>
      <c r="L55" s="534"/>
      <c r="M55" s="534"/>
      <c r="N55" s="534"/>
    </row>
    <row r="56" spans="1:16" ht="15.6" x14ac:dyDescent="0.3">
      <c r="B56" s="534"/>
      <c r="C56" s="534"/>
      <c r="D56" s="534"/>
      <c r="E56" s="534"/>
      <c r="F56" s="534"/>
      <c r="G56" s="534"/>
      <c r="H56" s="534"/>
      <c r="I56" s="534"/>
      <c r="J56" s="534"/>
      <c r="K56" s="534"/>
      <c r="L56" s="534"/>
      <c r="M56" s="534"/>
      <c r="N56" s="534"/>
    </row>
    <row r="57" spans="1:16" x14ac:dyDescent="0.25">
      <c r="N57" s="121" t="s">
        <v>256</v>
      </c>
    </row>
    <row r="59" spans="1:16" x14ac:dyDescent="0.25">
      <c r="E59" s="17"/>
    </row>
    <row r="60" spans="1:16" x14ac:dyDescent="0.25">
      <c r="A60" s="18" t="s">
        <v>259</v>
      </c>
      <c r="B60" s="173" t="s">
        <v>475</v>
      </c>
      <c r="C60" s="20"/>
      <c r="E60" s="166" t="s">
        <v>307</v>
      </c>
      <c r="F60" s="314">
        <v>20</v>
      </c>
      <c r="G60" s="13" t="s">
        <v>256</v>
      </c>
      <c r="P60" s="295" t="s">
        <v>256</v>
      </c>
    </row>
    <row r="61" spans="1:16" x14ac:dyDescent="0.25">
      <c r="A61" s="22"/>
      <c r="B61" s="13" t="s">
        <v>239</v>
      </c>
      <c r="C61" s="23"/>
      <c r="D61" s="23"/>
    </row>
    <row r="62" spans="1:16" x14ac:dyDescent="0.25">
      <c r="A62" s="22"/>
    </row>
    <row r="63" spans="1:16" x14ac:dyDescent="0.25">
      <c r="A63" s="22"/>
      <c r="B63" t="s">
        <v>134</v>
      </c>
      <c r="C63"/>
      <c r="D63"/>
      <c r="E63" s="26" t="s">
        <v>61</v>
      </c>
      <c r="F63" s="26" t="s">
        <v>62</v>
      </c>
      <c r="G63" s="26" t="s">
        <v>65</v>
      </c>
      <c r="H63" s="26" t="s">
        <v>203</v>
      </c>
      <c r="I63" s="26" t="s">
        <v>55</v>
      </c>
      <c r="J63"/>
      <c r="K63"/>
      <c r="L63"/>
    </row>
    <row r="64" spans="1:16" x14ac:dyDescent="0.25">
      <c r="A64" s="22"/>
      <c r="B64" s="28" t="s">
        <v>17</v>
      </c>
      <c r="C64" s="150"/>
      <c r="D64" s="150"/>
      <c r="E64" s="150">
        <f>'BGS PTY16 Cost Alloc'!E268</f>
        <v>159.35318505431147</v>
      </c>
      <c r="F64" s="150"/>
      <c r="G64" s="150">
        <f>'BGS PTY16 Cost Alloc'!G268</f>
        <v>147411.3354251743</v>
      </c>
      <c r="H64" s="145"/>
      <c r="I64" s="150">
        <f>'BGS PTY16 Cost Alloc'!I268</f>
        <v>1569.3183499938048</v>
      </c>
      <c r="J64" s="150"/>
      <c r="K64" s="150"/>
      <c r="L64" s="150"/>
    </row>
    <row r="65" spans="1:12" x14ac:dyDescent="0.25">
      <c r="A65" s="22"/>
      <c r="B65" s="77" t="s">
        <v>72</v>
      </c>
      <c r="C65" s="150"/>
      <c r="D65" s="150"/>
      <c r="E65" s="150">
        <f>'BGS PTY16 Cost Alloc'!E269</f>
        <v>3956.8979680346069</v>
      </c>
      <c r="F65" s="150"/>
      <c r="G65" s="150"/>
      <c r="H65" s="150">
        <f>'BGS PTY16 Cost Alloc'!H269</f>
        <v>1899.3039565389165</v>
      </c>
      <c r="I65" s="150"/>
      <c r="J65" s="150"/>
      <c r="K65" s="150"/>
      <c r="L65" s="150"/>
    </row>
    <row r="66" spans="1:12" x14ac:dyDescent="0.25">
      <c r="A66" s="22"/>
      <c r="B66" s="77" t="s">
        <v>73</v>
      </c>
      <c r="C66" s="150"/>
      <c r="D66" s="150"/>
      <c r="E66" s="150">
        <f>'BGS PTY16 Cost Alloc'!E270</f>
        <v>1719.7908343109898</v>
      </c>
      <c r="F66" s="150"/>
      <c r="G66" s="150"/>
      <c r="H66" s="150">
        <f>'BGS PTY16 Cost Alloc'!H270</f>
        <v>689.71501833938805</v>
      </c>
      <c r="I66" s="150"/>
      <c r="J66" s="150"/>
      <c r="K66" s="150"/>
      <c r="L66" s="150"/>
    </row>
    <row r="67" spans="1:12" x14ac:dyDescent="0.25">
      <c r="A67" s="22"/>
      <c r="B67" s="89" t="s">
        <v>142</v>
      </c>
      <c r="C67" s="150"/>
      <c r="D67" s="150"/>
      <c r="E67" s="150"/>
      <c r="F67" s="150">
        <f>'BGS PTY16 Cost Alloc'!F271</f>
        <v>123567.99407656619</v>
      </c>
      <c r="G67" s="150"/>
      <c r="H67" s="145"/>
      <c r="I67" s="150"/>
      <c r="J67" s="150"/>
      <c r="K67" s="150"/>
      <c r="L67" s="150"/>
    </row>
    <row r="68" spans="1:12" x14ac:dyDescent="0.25">
      <c r="A68" s="22"/>
      <c r="B68" s="89" t="s">
        <v>144</v>
      </c>
      <c r="C68" s="150"/>
      <c r="D68" s="150"/>
      <c r="E68" s="150"/>
      <c r="F68" s="150">
        <f>'BGS PTY16 Cost Alloc'!F272</f>
        <v>124994.7849436869</v>
      </c>
      <c r="G68" s="150"/>
      <c r="H68" s="145"/>
      <c r="I68" s="150"/>
      <c r="J68" s="150"/>
      <c r="K68" s="150"/>
      <c r="L68" s="150"/>
    </row>
    <row r="69" spans="1:12" x14ac:dyDescent="0.25">
      <c r="A69" s="22"/>
      <c r="C69" s="150"/>
      <c r="D69" s="150"/>
      <c r="E69" s="150"/>
      <c r="F69" s="150"/>
      <c r="G69" s="150"/>
      <c r="H69" s="145"/>
      <c r="I69" s="150"/>
      <c r="J69" s="150"/>
      <c r="K69" s="150"/>
      <c r="L69" s="150"/>
    </row>
    <row r="70" spans="1:12" x14ac:dyDescent="0.25">
      <c r="A70" s="22"/>
      <c r="B70" s="28" t="s">
        <v>18</v>
      </c>
      <c r="C70" s="150"/>
      <c r="D70" s="150"/>
      <c r="E70" s="150">
        <f>'BGS PTY16 Cost Alloc'!E274</f>
        <v>336.75471731638959</v>
      </c>
      <c r="F70" s="150">
        <f>'BGS PTY16 Cost Alloc'!F274</f>
        <v>415092.24913110794</v>
      </c>
      <c r="G70" s="150">
        <f>'BGS PTY16 Cost Alloc'!G274</f>
        <v>279247.80520882166</v>
      </c>
      <c r="I70" s="150">
        <f>'BGS PTY16 Cost Alloc'!I274</f>
        <v>3557.5560014631469</v>
      </c>
      <c r="J70" s="150"/>
      <c r="K70" s="150"/>
      <c r="L70" s="150"/>
    </row>
    <row r="71" spans="1:12" x14ac:dyDescent="0.25">
      <c r="A71" s="22"/>
      <c r="B71" s="77" t="s">
        <v>72</v>
      </c>
      <c r="C71" s="150"/>
      <c r="D71" s="150"/>
      <c r="E71" s="150">
        <f>'BGS PTY16 Cost Alloc'!E275</f>
        <v>7838.8709641654586</v>
      </c>
      <c r="F71" s="3"/>
      <c r="G71" s="3"/>
      <c r="H71" s="150">
        <f>'BGS PTY16 Cost Alloc'!H275</f>
        <v>4227.3984886298131</v>
      </c>
      <c r="I71" s="3"/>
      <c r="J71" s="150"/>
      <c r="K71" s="150"/>
      <c r="L71" s="150"/>
    </row>
    <row r="72" spans="1:12" x14ac:dyDescent="0.25">
      <c r="A72" s="22"/>
      <c r="B72" s="77" t="s">
        <v>73</v>
      </c>
      <c r="C72" s="3"/>
      <c r="D72" s="3"/>
      <c r="E72" s="150">
        <f>'BGS PTY16 Cost Alloc'!E276</f>
        <v>4515.2165975455646</v>
      </c>
      <c r="H72" s="150">
        <f>'BGS PTY16 Cost Alloc'!H276</f>
        <v>2189.0701989488898</v>
      </c>
      <c r="J72" s="150"/>
      <c r="K72" s="150"/>
      <c r="L72" s="150"/>
    </row>
    <row r="73" spans="1:12" x14ac:dyDescent="0.25">
      <c r="A73" s="22"/>
      <c r="B73" s="5"/>
      <c r="C73"/>
      <c r="D73"/>
      <c r="E73"/>
      <c r="F73"/>
      <c r="G73"/>
      <c r="H73"/>
      <c r="I73"/>
      <c r="J73"/>
      <c r="K73"/>
      <c r="L73"/>
    </row>
    <row r="74" spans="1:12" x14ac:dyDescent="0.25">
      <c r="A74" s="22"/>
      <c r="B74" t="s">
        <v>135</v>
      </c>
      <c r="C74"/>
      <c r="D74"/>
      <c r="E74"/>
      <c r="F74"/>
      <c r="G74"/>
      <c r="H74"/>
      <c r="I74"/>
      <c r="J74"/>
      <c r="K74"/>
      <c r="L74"/>
    </row>
    <row r="75" spans="1:12" x14ac:dyDescent="0.25">
      <c r="A75" s="22"/>
      <c r="B75" s="5" t="s">
        <v>25</v>
      </c>
      <c r="D75"/>
      <c r="E75" s="3">
        <f>SUM(E64:E68)</f>
        <v>5836.041987399909</v>
      </c>
      <c r="F75" s="3">
        <f>SUM(F64:F68)</f>
        <v>248562.7790202531</v>
      </c>
      <c r="G75" s="3">
        <f>SUM(G64:G68)</f>
        <v>147411.3354251743</v>
      </c>
      <c r="H75" s="3">
        <f>SUM(H64:H68)</f>
        <v>2589.0189748783046</v>
      </c>
      <c r="I75" s="3">
        <f>SUM(I64:I68)</f>
        <v>1569.3183499938048</v>
      </c>
      <c r="J75" s="152">
        <f>SUM(E75:I75)</f>
        <v>405968.49375769944</v>
      </c>
      <c r="K75" s="152"/>
      <c r="L75" s="152"/>
    </row>
    <row r="76" spans="1:12" x14ac:dyDescent="0.25">
      <c r="A76" s="22"/>
      <c r="B76" s="5" t="s">
        <v>26</v>
      </c>
      <c r="D76"/>
      <c r="E76" s="3">
        <f>SUM(E70:E72)</f>
        <v>12690.842279027413</v>
      </c>
      <c r="F76" s="3">
        <f>SUM(F70:F72)</f>
        <v>415092.24913110794</v>
      </c>
      <c r="G76" s="3">
        <f>SUM(G70:G72)</f>
        <v>279247.80520882166</v>
      </c>
      <c r="H76" s="3">
        <f>SUM(H70:H72)</f>
        <v>6416.4686875787029</v>
      </c>
      <c r="I76" s="3">
        <f>SUM(I70:I72)</f>
        <v>3557.5560014631469</v>
      </c>
      <c r="J76" s="152">
        <f>SUM(E76:I76)</f>
        <v>717004.92130799871</v>
      </c>
      <c r="K76" s="152"/>
      <c r="L76" s="152"/>
    </row>
    <row r="77" spans="1:12" x14ac:dyDescent="0.25">
      <c r="A77" s="18"/>
      <c r="B77" s="5" t="s">
        <v>13</v>
      </c>
      <c r="D77"/>
      <c r="E77" s="3">
        <f>SUM(E75:E76)</f>
        <v>18526.884266427322</v>
      </c>
      <c r="F77" s="3">
        <f>SUM(F75:F76)</f>
        <v>663655.02815136104</v>
      </c>
      <c r="G77" s="3">
        <f>SUM(G75:G76)</f>
        <v>426659.14063399599</v>
      </c>
      <c r="H77" s="3">
        <f>SUM(H75:H76)</f>
        <v>9005.4876624570079</v>
      </c>
      <c r="I77" s="3">
        <f>SUM(I75:I76)</f>
        <v>5126.8743514569514</v>
      </c>
      <c r="J77" s="3">
        <f>SUM(E77:I77)</f>
        <v>1122973.4150656983</v>
      </c>
      <c r="K77" s="3"/>
      <c r="L77" s="3"/>
    </row>
    <row r="81" spans="1:31" x14ac:dyDescent="0.25">
      <c r="A81" s="18" t="s">
        <v>260</v>
      </c>
      <c r="B81" s="164" t="s">
        <v>240</v>
      </c>
      <c r="C81" s="20"/>
      <c r="E81" s="17"/>
    </row>
    <row r="82" spans="1:31" x14ac:dyDescent="0.25">
      <c r="A82" s="22"/>
      <c r="B82" s="13" t="s">
        <v>239</v>
      </c>
      <c r="C82" s="23"/>
      <c r="D82" s="23"/>
    </row>
    <row r="83" spans="1:31" x14ac:dyDescent="0.25">
      <c r="A83" s="22"/>
    </row>
    <row r="84" spans="1:31" x14ac:dyDescent="0.25">
      <c r="A84" s="22"/>
      <c r="B84" t="s">
        <v>134</v>
      </c>
      <c r="C84"/>
      <c r="D84"/>
      <c r="E84" s="26" t="s">
        <v>61</v>
      </c>
      <c r="F84" s="26" t="s">
        <v>62</v>
      </c>
      <c r="G84" s="26" t="s">
        <v>65</v>
      </c>
      <c r="H84" s="26" t="s">
        <v>203</v>
      </c>
      <c r="I84" s="26" t="s">
        <v>55</v>
      </c>
      <c r="J84"/>
      <c r="K84"/>
      <c r="L84"/>
    </row>
    <row r="85" spans="1:31" x14ac:dyDescent="0.25">
      <c r="A85" s="22"/>
      <c r="B85" s="28" t="s">
        <v>17</v>
      </c>
      <c r="C85" s="150"/>
      <c r="D85" s="150"/>
      <c r="E85" s="150">
        <f>(E11*$F$7+E32*$F$28+E64*$F$60)/($F$7+$F$28+$F$60)</f>
        <v>172.16090851087861</v>
      </c>
      <c r="F85" s="150"/>
      <c r="G85" s="150">
        <f>(G11*$F$7+G32*$F$28+G64*$F$60)/($F$7+$F$28+$F$60)</f>
        <v>166098.89936078561</v>
      </c>
      <c r="H85" s="145"/>
      <c r="I85" s="150">
        <f>(I11*$F$7+I32*$F$28+I64*$F$60)/($F$7+$F$28+$F$60)</f>
        <v>1948.318048067682</v>
      </c>
      <c r="J85" s="150"/>
      <c r="K85" s="150"/>
      <c r="L85" s="150"/>
    </row>
    <row r="86" spans="1:31" x14ac:dyDescent="0.25">
      <c r="A86" s="22"/>
      <c r="B86" s="77" t="s">
        <v>72</v>
      </c>
      <c r="C86" s="150"/>
      <c r="D86" s="150"/>
      <c r="E86" s="150">
        <f>(E12*$F$7+E33*$F$28+E65*$F$60)/($F$7+$F$28+$F$60)</f>
        <v>4011.769342749551</v>
      </c>
      <c r="F86" s="150"/>
      <c r="G86" s="150"/>
      <c r="H86" s="150">
        <f>(H12*$F$7+H33*$F$28+H65*$F$60)/($F$7+$F$28+$F$60)</f>
        <v>1944.1686459252683</v>
      </c>
      <c r="I86" s="150"/>
      <c r="J86" s="150"/>
      <c r="K86" s="150"/>
      <c r="L86" s="150"/>
    </row>
    <row r="87" spans="1:31" x14ac:dyDescent="0.25">
      <c r="A87" s="22"/>
      <c r="B87" s="77" t="s">
        <v>73</v>
      </c>
      <c r="C87" s="150"/>
      <c r="D87" s="150"/>
      <c r="E87" s="150">
        <f>(E13*$F$7+E34*$F$28+E66*$F$60)/($F$7+$F$28+$F$60)</f>
        <v>2121.1555359854801</v>
      </c>
      <c r="F87" s="150"/>
      <c r="G87" s="150"/>
      <c r="H87" s="150">
        <f>(H13*$F$7+H34*$F$28+H66*$F$60)/($F$7+$F$28+$F$60)</f>
        <v>853.84299563474895</v>
      </c>
      <c r="I87" s="150"/>
      <c r="J87" s="150"/>
      <c r="K87" s="150"/>
      <c r="L87" s="150"/>
      <c r="O87" s="47"/>
      <c r="P87" s="47"/>
      <c r="Q87" s="44"/>
      <c r="R87" s="44"/>
      <c r="S87" s="44"/>
      <c r="T87" s="47"/>
      <c r="U87" s="47"/>
      <c r="V87" s="44"/>
      <c r="W87" s="44"/>
      <c r="X87" s="44"/>
      <c r="Y87" s="47"/>
      <c r="Z87" s="47"/>
      <c r="AA87" s="44"/>
      <c r="AB87" s="44"/>
      <c r="AC87" s="44"/>
      <c r="AD87" s="47"/>
      <c r="AE87" s="47"/>
    </row>
    <row r="88" spans="1:31" x14ac:dyDescent="0.25">
      <c r="A88" s="22"/>
      <c r="B88" s="89" t="s">
        <v>142</v>
      </c>
      <c r="C88" s="150"/>
      <c r="D88" s="150"/>
      <c r="E88" s="150"/>
      <c r="F88" s="150">
        <f>(F14*$F$7+F35*$F$28+F67*$F$60)/($F$7+$F$28+$F$60)</f>
        <v>138933.2713038497</v>
      </c>
      <c r="G88" s="150"/>
      <c r="H88" s="145"/>
      <c r="I88" s="150"/>
      <c r="J88" s="150"/>
      <c r="K88" s="150"/>
      <c r="L88" s="150"/>
      <c r="O88" s="47"/>
      <c r="P88" s="47"/>
      <c r="Q88" s="47"/>
      <c r="R88" s="47"/>
      <c r="S88" s="47"/>
      <c r="T88" s="47"/>
      <c r="U88" s="47"/>
      <c r="V88" s="470"/>
      <c r="W88" s="470"/>
      <c r="X88" s="470"/>
      <c r="Y88" s="47"/>
      <c r="Z88" s="47"/>
      <c r="AA88" s="470"/>
      <c r="AB88" s="470"/>
      <c r="AC88" s="470"/>
      <c r="AD88" s="47"/>
      <c r="AE88" s="47"/>
    </row>
    <row r="89" spans="1:31" x14ac:dyDescent="0.25">
      <c r="A89" s="22"/>
      <c r="B89" s="89" t="s">
        <v>144</v>
      </c>
      <c r="C89" s="150"/>
      <c r="D89" s="150"/>
      <c r="E89" s="150"/>
      <c r="F89" s="150">
        <f>(F15*$F$7+F36*$F$28+F68*$F$60)/($F$7+$F$28+$F$60)</f>
        <v>138680.70195867078</v>
      </c>
      <c r="G89" s="150"/>
      <c r="H89" s="145"/>
      <c r="I89" s="150"/>
      <c r="J89" s="150"/>
      <c r="K89" s="150"/>
      <c r="L89" s="150"/>
      <c r="O89" s="164"/>
      <c r="P89" s="47"/>
      <c r="Q89" s="47"/>
      <c r="R89" s="47"/>
      <c r="S89" s="47"/>
      <c r="T89" s="47"/>
      <c r="U89" s="47"/>
      <c r="V89" s="47"/>
      <c r="W89" s="47"/>
      <c r="X89" s="47"/>
      <c r="Y89" s="47"/>
      <c r="Z89" s="47"/>
      <c r="AA89" s="47"/>
      <c r="AB89" s="47"/>
      <c r="AC89" s="47"/>
      <c r="AD89" s="47"/>
      <c r="AE89" s="47"/>
    </row>
    <row r="90" spans="1:31" x14ac:dyDescent="0.25">
      <c r="A90" s="22"/>
      <c r="C90" s="150"/>
      <c r="D90" s="150"/>
      <c r="E90" s="150"/>
      <c r="F90" s="150"/>
      <c r="G90" s="150"/>
      <c r="H90" s="145"/>
      <c r="I90" s="150"/>
      <c r="J90" s="150"/>
      <c r="K90" s="150"/>
      <c r="L90" s="150"/>
      <c r="O90" s="491"/>
      <c r="P90" s="47"/>
      <c r="Q90" s="475"/>
      <c r="R90" s="475"/>
      <c r="S90" s="475"/>
      <c r="T90" s="475"/>
      <c r="U90" s="47"/>
      <c r="V90" s="47"/>
      <c r="W90" s="47"/>
      <c r="X90" s="47"/>
      <c r="Y90" s="47"/>
      <c r="Z90" s="47"/>
      <c r="AA90" s="47"/>
      <c r="AB90" s="47"/>
      <c r="AC90" s="47"/>
      <c r="AD90" s="47"/>
      <c r="AE90" s="47"/>
    </row>
    <row r="91" spans="1:31" x14ac:dyDescent="0.25">
      <c r="A91" s="22"/>
      <c r="B91" s="28" t="s">
        <v>18</v>
      </c>
      <c r="C91" s="150"/>
      <c r="D91" s="150"/>
      <c r="E91" s="150">
        <f>(E17*$F$7+E38*$F$28+E70*$F$60)/($F$7+$F$28+$F$60)</f>
        <v>343.5208478563892</v>
      </c>
      <c r="F91" s="150">
        <f>(F17*$F$7+F38*$F$28+F70*$F$60)/($F$7+$F$28+$F$60)</f>
        <v>422536.41269020812</v>
      </c>
      <c r="G91" s="150">
        <f>(G17*$F$7+G38*$F$28+G70*$F$60)/($F$7+$F$28+$F$60)</f>
        <v>290783.86801205558</v>
      </c>
      <c r="I91" s="150">
        <f>(I17*$F$7+I38*$F$28+I70*$F$60)/($F$7+$F$28+$F$60)</f>
        <v>4012.6542127540561</v>
      </c>
      <c r="J91" s="150"/>
      <c r="K91" s="150"/>
      <c r="L91" s="150"/>
      <c r="O91" s="491"/>
      <c r="P91" s="47"/>
      <c r="Q91" s="475"/>
      <c r="R91" s="475"/>
      <c r="S91" s="475"/>
      <c r="T91" s="475"/>
      <c r="U91" s="47"/>
      <c r="V91" s="164"/>
      <c r="W91" s="47"/>
      <c r="X91" s="47"/>
      <c r="Y91" s="47"/>
      <c r="Z91" s="47"/>
      <c r="AA91" s="164"/>
      <c r="AB91" s="47"/>
      <c r="AC91" s="47"/>
      <c r="AD91" s="47"/>
      <c r="AE91" s="47"/>
    </row>
    <row r="92" spans="1:31" x14ac:dyDescent="0.25">
      <c r="A92" s="22"/>
      <c r="B92" s="77" t="s">
        <v>72</v>
      </c>
      <c r="C92" s="150"/>
      <c r="D92" s="150"/>
      <c r="E92" s="150">
        <f>(E18*$F$7+E39*$F$28+E71*$F$60)/($F$7+$F$28+$F$60)</f>
        <v>7458.7803517306811</v>
      </c>
      <c r="F92" s="3"/>
      <c r="G92" s="3"/>
      <c r="H92" s="150">
        <f>(H18*$F$7+H39*$F$28+H71*$F$60)/($F$7+$F$28+$F$60)</f>
        <v>4200.293779590922</v>
      </c>
      <c r="I92" s="3"/>
      <c r="J92" s="150"/>
      <c r="K92" s="150"/>
      <c r="L92" s="150"/>
      <c r="Q92" s="26"/>
      <c r="R92" s="26"/>
      <c r="S92" s="26"/>
      <c r="U92" s="47"/>
      <c r="V92" s="44"/>
      <c r="W92" s="44"/>
      <c r="X92" s="44"/>
      <c r="Y92" s="47"/>
      <c r="Z92" s="47"/>
      <c r="AA92" s="44"/>
      <c r="AB92" s="44"/>
      <c r="AC92" s="44"/>
      <c r="AD92" s="47"/>
      <c r="AE92" s="47"/>
    </row>
    <row r="93" spans="1:31" x14ac:dyDescent="0.25">
      <c r="A93" s="22"/>
      <c r="B93" s="77" t="s">
        <v>73</v>
      </c>
      <c r="C93" s="3"/>
      <c r="D93" s="3"/>
      <c r="E93" s="150">
        <f>(E19*$F$7+E40*$F$28+E72*$F$60)/($F$7+$F$28+$F$60)</f>
        <v>5143.5593593817021</v>
      </c>
      <c r="H93" s="150">
        <f>(H19*$F$7+H40*$F$28+H72*$F$60)/($F$7+$F$28+$F$60)</f>
        <v>2446.9584012618211</v>
      </c>
      <c r="J93" s="150"/>
      <c r="K93" s="150"/>
      <c r="L93" s="150"/>
      <c r="P93" s="413"/>
      <c r="Q93" s="55"/>
      <c r="R93" s="55"/>
      <c r="S93" s="55"/>
      <c r="U93" s="47"/>
      <c r="V93" s="471"/>
      <c r="W93" s="471"/>
      <c r="X93" s="471"/>
      <c r="Y93" s="472"/>
      <c r="Z93" s="47"/>
      <c r="AA93" s="473"/>
      <c r="AB93" s="473"/>
      <c r="AC93" s="473"/>
      <c r="AD93" s="472"/>
      <c r="AE93" s="47"/>
    </row>
    <row r="94" spans="1:31" x14ac:dyDescent="0.25">
      <c r="A94" s="22"/>
      <c r="B94" s="5"/>
      <c r="C94"/>
      <c r="D94"/>
      <c r="E94"/>
      <c r="F94"/>
      <c r="G94"/>
      <c r="H94"/>
      <c r="I94"/>
      <c r="J94"/>
      <c r="K94"/>
      <c r="L94"/>
      <c r="R94" s="47"/>
      <c r="S94" s="47"/>
      <c r="T94" s="53"/>
      <c r="U94" s="47"/>
      <c r="V94" s="47"/>
      <c r="W94" s="47"/>
      <c r="X94" s="474"/>
      <c r="Y94" s="474"/>
      <c r="Z94" s="47"/>
      <c r="AA94" s="47"/>
      <c r="AB94" s="47"/>
      <c r="AC94" s="47"/>
      <c r="AD94" s="474"/>
      <c r="AE94" s="47"/>
    </row>
    <row r="95" spans="1:31" x14ac:dyDescent="0.25">
      <c r="A95" s="22"/>
      <c r="B95" t="s">
        <v>135</v>
      </c>
      <c r="C95"/>
      <c r="D95"/>
      <c r="E95"/>
      <c r="F95"/>
      <c r="G95"/>
      <c r="H95"/>
      <c r="I95"/>
      <c r="J95"/>
      <c r="K95"/>
      <c r="L95"/>
      <c r="P95" s="441" t="s">
        <v>418</v>
      </c>
      <c r="R95" s="491"/>
      <c r="S95" s="47"/>
      <c r="T95" s="475"/>
      <c r="U95" s="47"/>
      <c r="V95" s="47"/>
      <c r="W95" s="47"/>
      <c r="X95" s="47"/>
      <c r="Y95" s="47"/>
      <c r="Z95" s="47"/>
      <c r="AA95" s="47"/>
      <c r="AB95" s="47"/>
      <c r="AC95" s="47"/>
      <c r="AD95" s="47"/>
      <c r="AE95" s="47"/>
    </row>
    <row r="96" spans="1:31" x14ac:dyDescent="0.25">
      <c r="A96" s="22"/>
      <c r="B96" s="5" t="s">
        <v>25</v>
      </c>
      <c r="D96"/>
      <c r="E96" s="3">
        <f>SUM(E85:E89)</f>
        <v>6305.0857872459101</v>
      </c>
      <c r="F96" s="3">
        <f>SUM(F85:F89)</f>
        <v>277613.97326252051</v>
      </c>
      <c r="G96" s="3">
        <f>SUM(G85:G89)</f>
        <v>166098.89936078561</v>
      </c>
      <c r="H96" s="3">
        <f>SUM(H85:H89)</f>
        <v>2798.0116415600173</v>
      </c>
      <c r="I96" s="3">
        <f>SUM(I85:I89)</f>
        <v>1948.318048067682</v>
      </c>
      <c r="J96" s="152">
        <f>SUM(E96:I96)</f>
        <v>454764.28810017969</v>
      </c>
      <c r="K96" s="152"/>
      <c r="L96" s="152"/>
      <c r="P96" s="441"/>
      <c r="R96" s="491"/>
      <c r="S96" s="47"/>
      <c r="T96" s="475"/>
      <c r="U96" s="446"/>
      <c r="V96" s="47"/>
      <c r="W96" s="47"/>
      <c r="X96" s="47"/>
      <c r="Y96" s="47"/>
      <c r="Z96" s="446"/>
      <c r="AA96" s="47"/>
      <c r="AB96" s="47"/>
      <c r="AC96" s="47"/>
      <c r="AD96" s="47"/>
      <c r="AE96" s="47"/>
    </row>
    <row r="97" spans="1:31" x14ac:dyDescent="0.25">
      <c r="A97" s="22"/>
      <c r="B97" s="5" t="s">
        <v>26</v>
      </c>
      <c r="D97"/>
      <c r="E97" s="3">
        <f>SUM(E91:E93)</f>
        <v>12945.860558968772</v>
      </c>
      <c r="F97" s="3">
        <f>SUM(F91:F93)</f>
        <v>422536.41269020812</v>
      </c>
      <c r="G97" s="3">
        <f>SUM(G91:G93)</f>
        <v>290783.86801205558</v>
      </c>
      <c r="H97" s="3">
        <f>SUM(H91:H93)</f>
        <v>6647.2521808527435</v>
      </c>
      <c r="I97" s="3">
        <f>SUM(I91:I93)</f>
        <v>4012.6542127540561</v>
      </c>
      <c r="J97" s="152">
        <f>SUM(E97:I97)</f>
        <v>736926.04765483935</v>
      </c>
      <c r="K97" s="152"/>
      <c r="L97" s="152"/>
      <c r="P97" s="406"/>
      <c r="Q97" s="292"/>
      <c r="R97" s="292"/>
      <c r="S97" s="292"/>
      <c r="U97" s="426"/>
      <c r="V97" s="475"/>
      <c r="W97" s="475"/>
      <c r="X97" s="475"/>
      <c r="Y97" s="47"/>
      <c r="Z97" s="426"/>
      <c r="AA97" s="475"/>
      <c r="AB97" s="475"/>
      <c r="AC97" s="475"/>
      <c r="AD97" s="47"/>
      <c r="AE97" s="47"/>
    </row>
    <row r="98" spans="1:31" x14ac:dyDescent="0.25">
      <c r="A98" s="18"/>
      <c r="B98" s="5" t="s">
        <v>13</v>
      </c>
      <c r="D98"/>
      <c r="E98" s="3">
        <f>SUM(E96:E97)</f>
        <v>19250.946346214681</v>
      </c>
      <c r="F98" s="3">
        <f>SUM(F96:F97)</f>
        <v>700150.38595272857</v>
      </c>
      <c r="G98" s="3">
        <f>SUM(G96:G97)</f>
        <v>456882.76737284119</v>
      </c>
      <c r="H98" s="3">
        <f>SUM(H96:H97)</f>
        <v>9445.2638224127604</v>
      </c>
      <c r="I98" s="3">
        <f>SUM(I96:I97)</f>
        <v>5960.972260821738</v>
      </c>
      <c r="J98" s="3">
        <f>SUM(E98:I98)</f>
        <v>1191690.3357550192</v>
      </c>
      <c r="K98" s="3"/>
      <c r="L98" s="3"/>
      <c r="P98" s="406"/>
      <c r="Q98" s="292"/>
      <c r="R98" s="292"/>
      <c r="S98" s="292"/>
      <c r="U98" s="426"/>
      <c r="V98" s="475"/>
      <c r="W98" s="475"/>
      <c r="X98" s="475"/>
      <c r="Y98" s="47"/>
      <c r="Z98" s="426"/>
      <c r="AA98" s="475"/>
      <c r="AB98" s="475"/>
      <c r="AC98" s="475"/>
      <c r="AD98" s="47"/>
      <c r="AE98" s="47"/>
    </row>
    <row r="99" spans="1:31" x14ac:dyDescent="0.25">
      <c r="B99" s="307"/>
      <c r="U99" s="19"/>
      <c r="V99" s="47"/>
      <c r="W99" s="47"/>
      <c r="X99" s="47"/>
      <c r="Y99" s="47"/>
      <c r="Z99" s="19"/>
      <c r="AA99" s="47"/>
      <c r="AB99" s="47"/>
      <c r="AC99" s="47"/>
      <c r="AD99" s="47"/>
      <c r="AE99" s="47"/>
    </row>
    <row r="100" spans="1:31" ht="15.6" x14ac:dyDescent="0.3">
      <c r="B100" s="534" t="s">
        <v>69</v>
      </c>
      <c r="C100" s="534"/>
      <c r="D100" s="534"/>
      <c r="E100" s="534"/>
      <c r="F100" s="534"/>
      <c r="G100" s="534"/>
      <c r="H100" s="534"/>
      <c r="I100" s="534"/>
      <c r="J100" s="534"/>
      <c r="K100" s="534"/>
      <c r="L100" s="534"/>
      <c r="M100" s="534"/>
      <c r="N100" s="534"/>
      <c r="O100" s="47"/>
      <c r="P100" s="426"/>
      <c r="Q100" s="44"/>
      <c r="R100" s="44"/>
      <c r="S100" s="44"/>
      <c r="T100" s="47"/>
      <c r="U100" s="44"/>
      <c r="V100" s="44"/>
      <c r="W100" s="44"/>
      <c r="X100" s="44"/>
      <c r="Y100" s="47"/>
      <c r="Z100" s="44"/>
      <c r="AA100" s="44"/>
      <c r="AB100" s="44"/>
      <c r="AC100" s="44"/>
      <c r="AD100" s="47"/>
      <c r="AE100" s="47"/>
    </row>
    <row r="101" spans="1:31" ht="15.6" x14ac:dyDescent="0.3">
      <c r="B101" s="534" t="s">
        <v>187</v>
      </c>
      <c r="C101" s="534"/>
      <c r="D101" s="534"/>
      <c r="E101" s="534"/>
      <c r="F101" s="534"/>
      <c r="G101" s="534"/>
      <c r="H101" s="534"/>
      <c r="I101" s="534"/>
      <c r="J101" s="534"/>
      <c r="K101" s="534"/>
      <c r="L101" s="534"/>
      <c r="M101" s="534"/>
      <c r="N101" s="534"/>
      <c r="O101" s="47"/>
      <c r="P101" s="439"/>
      <c r="Q101" s="374"/>
      <c r="R101" s="374"/>
      <c r="S101" s="374"/>
      <c r="T101" s="477"/>
      <c r="U101" s="489"/>
      <c r="V101" s="476"/>
      <c r="W101" s="476"/>
      <c r="X101" s="476"/>
      <c r="Y101" s="477"/>
      <c r="Z101" s="489"/>
      <c r="AA101" s="476"/>
      <c r="AB101" s="476"/>
      <c r="AC101" s="476"/>
      <c r="AD101" s="477"/>
      <c r="AE101" s="47"/>
    </row>
    <row r="102" spans="1:31" ht="15.6" x14ac:dyDescent="0.3">
      <c r="B102" s="534"/>
      <c r="C102" s="534"/>
      <c r="D102" s="534"/>
      <c r="E102" s="534"/>
      <c r="F102" s="534"/>
      <c r="G102" s="534"/>
      <c r="H102" s="534"/>
      <c r="I102" s="534"/>
      <c r="J102" s="534"/>
      <c r="K102" s="534"/>
      <c r="L102" s="534"/>
      <c r="M102" s="534"/>
      <c r="N102" s="534"/>
      <c r="O102" s="47"/>
      <c r="P102" s="439"/>
      <c r="Q102" s="374"/>
      <c r="R102" s="374"/>
      <c r="S102" s="374"/>
      <c r="T102" s="477"/>
      <c r="U102" s="489"/>
      <c r="V102" s="476"/>
      <c r="W102" s="476"/>
      <c r="X102" s="476"/>
      <c r="Y102" s="477"/>
      <c r="Z102" s="489"/>
      <c r="AA102" s="476"/>
      <c r="AB102" s="476"/>
      <c r="AC102" s="476"/>
      <c r="AD102" s="477"/>
      <c r="AE102" s="47"/>
    </row>
    <row r="103" spans="1:31" x14ac:dyDescent="0.25">
      <c r="N103" s="121"/>
      <c r="O103" s="47"/>
      <c r="P103" s="47"/>
      <c r="Q103" s="47"/>
      <c r="R103" s="47"/>
      <c r="S103" s="47"/>
      <c r="T103" s="47"/>
      <c r="U103" s="47"/>
      <c r="V103" s="47"/>
      <c r="W103" s="47"/>
      <c r="X103" s="47"/>
      <c r="Y103" s="47"/>
      <c r="Z103" s="47"/>
      <c r="AA103" s="47"/>
      <c r="AB103" s="47"/>
      <c r="AC103" s="47"/>
      <c r="AD103" s="47"/>
      <c r="AE103" s="47"/>
    </row>
    <row r="104" spans="1:31" x14ac:dyDescent="0.25">
      <c r="O104" s="47"/>
      <c r="P104" s="439"/>
      <c r="Q104" s="479"/>
      <c r="R104" s="479"/>
      <c r="S104" s="479"/>
      <c r="T104" s="47"/>
      <c r="U104" s="47"/>
      <c r="V104" s="478"/>
      <c r="W104" s="478"/>
      <c r="X104" s="478"/>
      <c r="Y104" s="47"/>
      <c r="Z104" s="47"/>
      <c r="AA104" s="479"/>
      <c r="AB104" s="479"/>
      <c r="AC104" s="479"/>
      <c r="AD104" s="47"/>
      <c r="AE104" s="47"/>
    </row>
    <row r="105" spans="1:31" x14ac:dyDescent="0.25">
      <c r="E105" s="17"/>
      <c r="O105" s="19"/>
      <c r="P105" s="164"/>
      <c r="Q105" s="492"/>
      <c r="R105" s="492"/>
      <c r="S105" s="492"/>
      <c r="T105" s="47"/>
      <c r="U105" s="47"/>
      <c r="V105" s="47"/>
      <c r="W105" s="47"/>
      <c r="X105" s="47"/>
      <c r="Y105" s="47"/>
      <c r="Z105" s="47"/>
      <c r="AA105" s="47"/>
      <c r="AB105" s="47"/>
      <c r="AC105" s="47"/>
      <c r="AD105" s="47"/>
      <c r="AE105" s="47"/>
    </row>
    <row r="106" spans="1:31" x14ac:dyDescent="0.25">
      <c r="A106" s="18" t="s">
        <v>261</v>
      </c>
      <c r="B106" s="164" t="s">
        <v>241</v>
      </c>
      <c r="C106" s="20"/>
      <c r="E106" s="166"/>
      <c r="F106" s="38"/>
      <c r="O106" s="47"/>
      <c r="P106" s="439"/>
      <c r="Q106" s="486"/>
      <c r="R106" s="486"/>
      <c r="S106" s="486"/>
      <c r="T106" s="525"/>
      <c r="U106" s="47"/>
      <c r="V106" s="479"/>
      <c r="W106" s="479"/>
      <c r="X106" s="479"/>
      <c r="Y106" s="426"/>
      <c r="Z106" s="47"/>
      <c r="AA106" s="479"/>
      <c r="AB106" s="479"/>
      <c r="AC106" s="479"/>
      <c r="AD106" s="426"/>
      <c r="AE106" s="47"/>
    </row>
    <row r="107" spans="1:31" x14ac:dyDescent="0.25">
      <c r="B107" s="17" t="s">
        <v>462</v>
      </c>
      <c r="O107" s="47"/>
      <c r="P107" s="439"/>
      <c r="Q107" s="477"/>
      <c r="R107" s="477"/>
      <c r="S107" s="477"/>
      <c r="T107" s="47"/>
      <c r="U107" s="47"/>
      <c r="V107" s="47"/>
      <c r="W107" s="47"/>
      <c r="X107" s="47"/>
      <c r="Y107" s="47"/>
      <c r="Z107" s="47"/>
      <c r="AA107" s="477"/>
      <c r="AB107" s="477"/>
      <c r="AC107" s="477"/>
      <c r="AD107" s="47"/>
      <c r="AE107" s="47"/>
    </row>
    <row r="108" spans="1:31" x14ac:dyDescent="0.25">
      <c r="E108" s="26" t="s">
        <v>61</v>
      </c>
      <c r="F108" s="26" t="s">
        <v>62</v>
      </c>
      <c r="G108" s="26" t="s">
        <v>65</v>
      </c>
      <c r="H108" s="26" t="s">
        <v>203</v>
      </c>
      <c r="I108" s="26" t="s">
        <v>55</v>
      </c>
      <c r="O108" s="47"/>
      <c r="P108" s="526"/>
      <c r="Q108" s="527"/>
      <c r="R108" s="527"/>
      <c r="S108" s="527"/>
      <c r="T108" s="426"/>
      <c r="U108" s="47"/>
      <c r="V108" s="132"/>
      <c r="W108" s="132"/>
      <c r="X108" s="132"/>
      <c r="Y108" s="47"/>
      <c r="Z108" s="47"/>
      <c r="AA108" s="132"/>
      <c r="AB108" s="132"/>
      <c r="AC108" s="132"/>
      <c r="AD108" s="47"/>
      <c r="AE108" s="47"/>
    </row>
    <row r="109" spans="1:31" x14ac:dyDescent="0.25">
      <c r="O109" s="47"/>
      <c r="P109" s="526"/>
      <c r="Q109" s="528"/>
      <c r="R109" s="528"/>
      <c r="S109" s="528"/>
      <c r="T109" s="480"/>
      <c r="U109" s="480"/>
      <c r="V109" s="481"/>
      <c r="W109" s="481"/>
      <c r="X109" s="481"/>
      <c r="Y109" s="426"/>
      <c r="Z109" s="47"/>
      <c r="AA109" s="481"/>
      <c r="AB109" s="481"/>
      <c r="AC109" s="481"/>
      <c r="AD109" s="426"/>
      <c r="AE109" s="47"/>
    </row>
    <row r="110" spans="1:31" x14ac:dyDescent="0.25">
      <c r="B110" s="28" t="s">
        <v>17</v>
      </c>
      <c r="E110" s="55">
        <f>SUM('BGS PTY16 Cost Alloc'!W65:W68)</f>
        <v>2080422.4798940001</v>
      </c>
      <c r="G110" s="55">
        <f>SUM('BGS PTY16 Cost Alloc'!G65:G68)*1000</f>
        <v>2187580000</v>
      </c>
      <c r="I110" s="55">
        <f>SUM('BGS PTY16 Cost Alloc'!I65:I68)*1000</f>
        <v>38075000</v>
      </c>
      <c r="O110" s="47"/>
      <c r="P110" s="439"/>
      <c r="Q110" s="529"/>
      <c r="R110" s="529"/>
      <c r="S110" s="529"/>
      <c r="T110" s="426"/>
      <c r="U110" s="439"/>
      <c r="V110" s="482"/>
      <c r="W110" s="482"/>
      <c r="X110" s="482"/>
      <c r="Y110" s="47"/>
      <c r="Z110" s="47"/>
      <c r="AA110" s="482"/>
      <c r="AB110" s="482"/>
      <c r="AC110" s="482"/>
      <c r="AD110" s="47"/>
      <c r="AE110" s="47"/>
    </row>
    <row r="111" spans="1:31" x14ac:dyDescent="0.25">
      <c r="B111" s="77" t="s">
        <v>72</v>
      </c>
      <c r="E111" s="55">
        <f>ROUND(SUMPRODUCT('BGS PTY16 Cost Alloc'!E65:E68,'BGS PTY16 Cost Alloc'!E38:E41)*1000-AVERAGE('BGS PTY16 Cost Alloc'!E38:E41)*E110,0)</f>
        <v>30286611</v>
      </c>
      <c r="H111" s="55">
        <f>SUMPRODUCT('BGS PTY16 Cost Alloc'!H65:H68,'BGS PTY16 Cost Alloc'!H38:H41)*1000</f>
        <v>15200926.100000001</v>
      </c>
      <c r="O111" s="53"/>
      <c r="P111" s="439"/>
      <c r="Q111" s="530"/>
      <c r="R111" s="530"/>
      <c r="S111" s="530"/>
      <c r="T111" s="47"/>
      <c r="U111" s="439"/>
      <c r="V111" s="482"/>
      <c r="W111" s="482"/>
      <c r="X111" s="482"/>
      <c r="Y111" s="47"/>
      <c r="Z111" s="47"/>
      <c r="AA111" s="482"/>
      <c r="AB111" s="482"/>
      <c r="AC111" s="482"/>
      <c r="AD111" s="47"/>
      <c r="AE111" s="47"/>
    </row>
    <row r="112" spans="1:31" x14ac:dyDescent="0.25">
      <c r="B112" s="77" t="s">
        <v>73</v>
      </c>
      <c r="E112" s="55">
        <f>ROUND(SUM('BGS PTY16 Cost Alloc'!E65:E68)*1000,0)-E110-E111</f>
        <v>43822966.520106003</v>
      </c>
      <c r="H112" s="55">
        <f>SUM('BGS PTY16 Cost Alloc'!H65:H68)*1000-H111</f>
        <v>17415073.899999999</v>
      </c>
      <c r="O112" s="47"/>
      <c r="P112" s="439"/>
      <c r="Q112" s="483"/>
      <c r="R112" s="483"/>
      <c r="S112" s="483"/>
      <c r="T112" s="531"/>
      <c r="U112" s="47"/>
      <c r="V112" s="483"/>
      <c r="W112" s="483"/>
      <c r="X112" s="483"/>
      <c r="Y112" s="47"/>
      <c r="Z112" s="47"/>
      <c r="AA112" s="483"/>
      <c r="AB112" s="483"/>
      <c r="AC112" s="483"/>
      <c r="AD112" s="47"/>
      <c r="AE112" s="47"/>
    </row>
    <row r="113" spans="1:32" x14ac:dyDescent="0.25">
      <c r="B113" s="89" t="s">
        <v>142</v>
      </c>
      <c r="F113" s="55">
        <f>ROUND('BGS PTY16 Cost Alloc'!R65,0)*1000</f>
        <v>1937650000</v>
      </c>
      <c r="O113" s="47"/>
      <c r="P113" s="439"/>
      <c r="Q113" s="484"/>
      <c r="R113" s="484"/>
      <c r="S113" s="484"/>
      <c r="T113" s="47"/>
      <c r="U113" s="47"/>
      <c r="V113" s="484"/>
      <c r="W113" s="484"/>
      <c r="X113" s="484"/>
      <c r="Y113" s="47"/>
      <c r="Z113" s="47"/>
      <c r="AA113" s="484"/>
      <c r="AB113" s="484"/>
      <c r="AC113" s="484"/>
      <c r="AD113" s="47"/>
      <c r="AE113" s="47"/>
    </row>
    <row r="114" spans="1:32" x14ac:dyDescent="0.25">
      <c r="B114" s="89" t="s">
        <v>144</v>
      </c>
      <c r="F114" s="55">
        <f>ROUND('BGS PTY16 Cost Alloc'!R66,0)*1000</f>
        <v>1725873000</v>
      </c>
      <c r="O114" s="19"/>
      <c r="P114" s="164"/>
      <c r="Q114" s="492"/>
      <c r="R114" s="492"/>
      <c r="S114" s="492"/>
      <c r="T114" s="47"/>
      <c r="U114" s="47"/>
      <c r="V114" s="47"/>
      <c r="W114" s="47"/>
      <c r="X114" s="47"/>
      <c r="Y114" s="47"/>
      <c r="Z114" s="47"/>
      <c r="AA114" s="47"/>
      <c r="AB114" s="47"/>
      <c r="AC114" s="47"/>
      <c r="AD114" s="47"/>
      <c r="AE114" s="47"/>
    </row>
    <row r="115" spans="1:32" x14ac:dyDescent="0.25">
      <c r="O115" s="19"/>
      <c r="P115" s="164"/>
      <c r="Q115" s="492"/>
      <c r="R115" s="492"/>
      <c r="S115" s="492"/>
      <c r="U115" s="47"/>
      <c r="V115" s="47"/>
      <c r="W115" s="47"/>
      <c r="X115" s="47"/>
      <c r="Y115" s="47"/>
      <c r="Z115" s="47"/>
      <c r="AA115" s="47"/>
      <c r="AB115" s="47"/>
      <c r="AC115" s="47"/>
      <c r="AD115" s="47"/>
      <c r="AE115" s="47"/>
    </row>
    <row r="116" spans="1:32" x14ac:dyDescent="0.25">
      <c r="B116" s="28" t="s">
        <v>18</v>
      </c>
      <c r="E116" s="55">
        <f>'BGS PTY16 Cost Alloc'!W72-E110</f>
        <v>4242572.9285309995</v>
      </c>
      <c r="F116" s="55">
        <f>ROUND('BGS PTY16 Cost Alloc'!F72,0)*1000-SUM(F113:F114)</f>
        <v>5157543000</v>
      </c>
      <c r="G116" s="55">
        <f>'BGS PTY16 Cost Alloc'!G72*1000-G110</f>
        <v>3796476000</v>
      </c>
      <c r="I116" s="55">
        <f>'BGS PTY16 Cost Alloc'!I72*1000-'Composite Cost Allocation'!I110</f>
        <v>76214000</v>
      </c>
      <c r="P116" s="413"/>
      <c r="Q116" s="292"/>
      <c r="R116" s="292"/>
      <c r="S116" s="292"/>
      <c r="T116" s="442"/>
      <c r="U116" s="485"/>
      <c r="V116" s="486"/>
      <c r="W116" s="486"/>
      <c r="X116" s="486"/>
      <c r="Y116" s="47"/>
      <c r="Z116" s="47"/>
      <c r="AA116" s="486"/>
      <c r="AB116" s="486"/>
      <c r="AC116" s="486"/>
      <c r="AD116" s="47"/>
      <c r="AE116" s="47"/>
    </row>
    <row r="117" spans="1:32" x14ac:dyDescent="0.25">
      <c r="B117" s="77" t="s">
        <v>72</v>
      </c>
      <c r="E117" s="55">
        <f>SUMPRODUCT('BGS PTY16 Cost Alloc'!E60:E71,'BGS PTY16 Cost Alloc'!E33:E44)*1000-E111-SUMPRODUCT('BGS PTY16 Cost Alloc'!W60:W71,'BGS PTY16 Cost Alloc'!E33:E44)</f>
        <v>55263715.358677089</v>
      </c>
      <c r="H117" s="55">
        <f>SUMPRODUCT('BGS PTY16 Cost Alloc'!H60:H71,'BGS PTY16 Cost Alloc'!H33:H44)*1000-H111</f>
        <v>37452340.899999999</v>
      </c>
      <c r="P117" s="413"/>
      <c r="Q117" s="292"/>
      <c r="R117" s="292"/>
      <c r="S117" s="292"/>
      <c r="T117" s="442"/>
      <c r="U117" s="485"/>
      <c r="V117" s="486"/>
      <c r="W117" s="486"/>
      <c r="X117" s="486"/>
      <c r="Y117" s="47"/>
      <c r="Z117" s="487"/>
      <c r="AA117" s="486"/>
      <c r="AB117" s="486"/>
      <c r="AC117" s="486"/>
      <c r="AD117" s="47"/>
      <c r="AE117" s="47"/>
    </row>
    <row r="118" spans="1:32" x14ac:dyDescent="0.25">
      <c r="B118" s="77" t="s">
        <v>73</v>
      </c>
      <c r="E118" s="55">
        <f>'BGS PTY16 Cost Alloc'!E72*1000-E110-E111-E112-E116-E117</f>
        <v>100382711.71279192</v>
      </c>
      <c r="H118" s="55">
        <f>'BGS PTY16 Cost Alloc'!H72*1000-H111-H112-H117</f>
        <v>47954659.100000001</v>
      </c>
      <c r="U118" s="47"/>
      <c r="V118" s="47"/>
      <c r="W118" s="47"/>
      <c r="X118" s="47"/>
      <c r="Y118" s="47"/>
      <c r="Z118" s="487"/>
      <c r="AA118" s="487"/>
      <c r="AB118" s="487"/>
      <c r="AC118" s="487"/>
      <c r="AD118" s="487"/>
      <c r="AE118" s="487"/>
    </row>
    <row r="119" spans="1:32" x14ac:dyDescent="0.25">
      <c r="J119" s="26" t="s">
        <v>13</v>
      </c>
      <c r="K119" s="26"/>
      <c r="L119" s="26"/>
      <c r="U119" s="47"/>
      <c r="V119" s="426"/>
      <c r="W119" s="47"/>
      <c r="X119" s="47"/>
      <c r="Y119" s="47"/>
      <c r="Z119" s="487"/>
      <c r="AA119" s="487"/>
      <c r="AB119" s="487"/>
      <c r="AC119" s="487"/>
      <c r="AD119" s="487"/>
      <c r="AE119" s="487"/>
    </row>
    <row r="120" spans="1:32" x14ac:dyDescent="0.25">
      <c r="B120" s="89" t="s">
        <v>162</v>
      </c>
      <c r="E120" s="55">
        <f>SUM(E110:E114)</f>
        <v>76190000</v>
      </c>
      <c r="F120" s="55">
        <f>SUM(F110:F114)</f>
        <v>3663523000</v>
      </c>
      <c r="G120" s="55">
        <f>SUM(G110:G114)</f>
        <v>2187580000</v>
      </c>
      <c r="H120" s="55">
        <f>SUM(H110:H114)</f>
        <v>32616000</v>
      </c>
      <c r="I120" s="55">
        <f>SUM(I110:I114)</f>
        <v>38075000</v>
      </c>
      <c r="J120" s="55">
        <f>SUM(E120:I120)</f>
        <v>5997984000</v>
      </c>
      <c r="K120" s="55"/>
      <c r="L120" s="55"/>
      <c r="Q120" s="437"/>
      <c r="R120" s="438"/>
      <c r="U120" s="47"/>
      <c r="V120" s="426"/>
      <c r="W120" s="490"/>
      <c r="X120" s="47"/>
      <c r="Y120" s="47"/>
      <c r="Z120" s="487"/>
      <c r="AA120" s="487"/>
      <c r="AB120" s="487"/>
      <c r="AC120" s="487"/>
      <c r="AD120" s="487"/>
      <c r="AE120" s="487"/>
    </row>
    <row r="121" spans="1:32" x14ac:dyDescent="0.25">
      <c r="B121" s="89" t="s">
        <v>163</v>
      </c>
      <c r="E121" s="139">
        <f>SUM(E116:E118)</f>
        <v>159889000</v>
      </c>
      <c r="F121" s="139">
        <f>SUM(F116:F118)</f>
        <v>5157543000</v>
      </c>
      <c r="G121" s="287">
        <f>SUM(G116:G118)</f>
        <v>3796476000</v>
      </c>
      <c r="H121" s="287">
        <f>SUM(H116:H118)</f>
        <v>85407000</v>
      </c>
      <c r="I121" s="287">
        <f>SUM(I116:I118)</f>
        <v>76214000</v>
      </c>
      <c r="J121" s="139">
        <f>SUM(E121:I121)</f>
        <v>9275529000</v>
      </c>
      <c r="K121" s="139"/>
      <c r="L121" s="139"/>
      <c r="U121" s="47"/>
      <c r="V121" s="426"/>
      <c r="W121" s="490"/>
      <c r="X121" s="47"/>
      <c r="Y121" s="47"/>
      <c r="Z121" s="47"/>
      <c r="AA121" s="487"/>
      <c r="AB121" s="487"/>
      <c r="AC121" s="487"/>
      <c r="AD121" s="487"/>
      <c r="AE121" s="487"/>
    </row>
    <row r="122" spans="1:32" ht="13.8" thickBot="1" x14ac:dyDescent="0.3">
      <c r="B122" s="89" t="s">
        <v>164</v>
      </c>
      <c r="E122" s="55">
        <f>SUM(E120:E121)</f>
        <v>236079000</v>
      </c>
      <c r="F122" s="55">
        <f>SUM(F120:F121)</f>
        <v>8821066000</v>
      </c>
      <c r="G122" s="55">
        <f>SUM(G120:G121)</f>
        <v>5984056000</v>
      </c>
      <c r="H122" s="55">
        <f>SUM(H120:H121)</f>
        <v>118023000</v>
      </c>
      <c r="I122" s="55">
        <f>SUM(I120:I121)</f>
        <v>114289000</v>
      </c>
      <c r="J122" s="55">
        <f>SUM(E122:I122)</f>
        <v>15273513000</v>
      </c>
      <c r="K122" s="55"/>
      <c r="L122" s="55"/>
      <c r="O122" s="447"/>
      <c r="P122" s="448" t="s">
        <v>454</v>
      </c>
      <c r="Q122" s="456">
        <v>0.99301146993772249</v>
      </c>
      <c r="R122" s="456">
        <v>0.99200149882910993</v>
      </c>
      <c r="S122" s="456">
        <v>0.99592244989995249</v>
      </c>
      <c r="T122" s="455" t="s">
        <v>461</v>
      </c>
      <c r="U122" s="488"/>
      <c r="V122" s="426"/>
      <c r="W122" s="475"/>
      <c r="X122" s="47"/>
      <c r="Y122" s="47"/>
      <c r="Z122" s="47"/>
      <c r="AA122" s="47"/>
      <c r="AB122" s="47"/>
      <c r="AC122" s="47"/>
      <c r="AD122" s="47"/>
      <c r="AE122" s="47"/>
      <c r="AF122" s="416"/>
    </row>
    <row r="123" spans="1:32" ht="13.8" thickBot="1" x14ac:dyDescent="0.3">
      <c r="P123" s="449"/>
      <c r="Q123" s="450"/>
      <c r="AF123" s="416"/>
    </row>
    <row r="124" spans="1:32" x14ac:dyDescent="0.25">
      <c r="AF124" s="416"/>
    </row>
    <row r="126" spans="1:32" x14ac:dyDescent="0.25">
      <c r="A126" s="18" t="s">
        <v>262</v>
      </c>
      <c r="B126" s="16" t="s">
        <v>96</v>
      </c>
    </row>
    <row r="127" spans="1:32" x14ac:dyDescent="0.25">
      <c r="A127" s="22"/>
      <c r="B127" s="16"/>
    </row>
    <row r="128" spans="1:32" x14ac:dyDescent="0.25">
      <c r="A128" s="22"/>
      <c r="B128" s="16" t="s">
        <v>97</v>
      </c>
    </row>
    <row r="129" spans="1:13" x14ac:dyDescent="0.25">
      <c r="A129" s="22"/>
      <c r="B129" s="17" t="s">
        <v>249</v>
      </c>
    </row>
    <row r="130" spans="1:13" x14ac:dyDescent="0.25">
      <c r="A130" s="22"/>
      <c r="B130" s="17" t="s">
        <v>21</v>
      </c>
    </row>
    <row r="131" spans="1:13" x14ac:dyDescent="0.25">
      <c r="A131" s="22"/>
      <c r="C131" s="26"/>
      <c r="D131" s="26"/>
      <c r="E131" s="26" t="str">
        <f>E108</f>
        <v>RT{1}</v>
      </c>
      <c r="F131" s="26" t="str">
        <f>F108</f>
        <v>RS{2}</v>
      </c>
      <c r="G131" s="26" t="str">
        <f>G108</f>
        <v>GS{3}</v>
      </c>
      <c r="H131" s="26" t="str">
        <f>H108</f>
        <v>GST {4}</v>
      </c>
      <c r="I131" s="26" t="str">
        <f>I108</f>
        <v>OL/SL</v>
      </c>
      <c r="J131" s="26"/>
      <c r="K131" s="26"/>
      <c r="L131" s="26"/>
    </row>
    <row r="132" spans="1:13" x14ac:dyDescent="0.25">
      <c r="A132" s="22"/>
      <c r="C132" s="26"/>
      <c r="D132" s="26"/>
      <c r="E132" s="74"/>
      <c r="F132" s="26"/>
      <c r="G132" s="26"/>
    </row>
    <row r="133" spans="1:13" x14ac:dyDescent="0.25">
      <c r="A133" s="22"/>
      <c r="B133" s="28" t="s">
        <v>17</v>
      </c>
      <c r="C133" s="74"/>
      <c r="D133" s="74"/>
      <c r="E133" s="74">
        <f>E85*1000/(E110/1000)</f>
        <v>82.752859178704142</v>
      </c>
      <c r="F133" s="74"/>
      <c r="G133" s="74">
        <f>G85*1000/(G110/1000)*S122</f>
        <v>75.61854779120273</v>
      </c>
      <c r="H133" s="74"/>
      <c r="I133" s="74">
        <f>I85*1000/(I110/1000)</f>
        <v>51.170533107490009</v>
      </c>
      <c r="J133" s="74"/>
      <c r="K133" s="74"/>
      <c r="L133" s="74"/>
      <c r="M133" s="74"/>
    </row>
    <row r="134" spans="1:13" x14ac:dyDescent="0.25">
      <c r="A134" s="22"/>
      <c r="B134" s="77" t="s">
        <v>72</v>
      </c>
      <c r="C134" s="74"/>
      <c r="D134" s="74"/>
      <c r="E134" s="74">
        <f>E86*1000/(E111/1000)*Q122</f>
        <v>131.53445831541939</v>
      </c>
      <c r="F134" s="74"/>
      <c r="G134" s="74"/>
      <c r="H134" s="74">
        <f>H86*1000/(H111/1000)</f>
        <v>127.89803944414072</v>
      </c>
      <c r="I134" s="74"/>
      <c r="J134" s="74"/>
      <c r="K134" s="74"/>
      <c r="L134" s="74"/>
    </row>
    <row r="135" spans="1:13" x14ac:dyDescent="0.25">
      <c r="A135" s="22"/>
      <c r="B135" s="77" t="s">
        <v>73</v>
      </c>
      <c r="C135" s="74"/>
      <c r="D135" s="74"/>
      <c r="E135" s="74">
        <f>E87*1000/(E112/1000)*Q122</f>
        <v>48.064563949341334</v>
      </c>
      <c r="F135" s="74"/>
      <c r="G135" s="74"/>
      <c r="H135" s="74">
        <f>H87*1000/(H112/1000)</f>
        <v>49.028961952021859</v>
      </c>
      <c r="I135" s="74"/>
      <c r="J135" s="74"/>
      <c r="K135" s="74"/>
      <c r="L135" s="74"/>
    </row>
    <row r="136" spans="1:13" x14ac:dyDescent="0.25">
      <c r="A136" s="22"/>
      <c r="B136" s="89" t="s">
        <v>142</v>
      </c>
      <c r="C136" s="74"/>
      <c r="D136" s="74"/>
      <c r="E136" s="74"/>
      <c r="F136" s="74">
        <f>F88*1000/(F113/1000)*R122</f>
        <v>71.128435667251708</v>
      </c>
      <c r="G136" s="74"/>
      <c r="H136" s="74"/>
      <c r="I136" s="74"/>
      <c r="J136" s="74"/>
      <c r="K136" s="74"/>
      <c r="L136" s="74"/>
    </row>
    <row r="137" spans="1:13" x14ac:dyDescent="0.25">
      <c r="A137" s="22"/>
      <c r="B137" s="89" t="s">
        <v>144</v>
      </c>
      <c r="C137" s="74"/>
      <c r="D137" s="74"/>
      <c r="E137" s="74"/>
      <c r="F137" s="74">
        <f>F89*1000/(F114/1000)*R122</f>
        <v>79.711232635121164</v>
      </c>
      <c r="G137" s="120"/>
      <c r="H137" s="74"/>
      <c r="I137" s="74"/>
      <c r="J137" s="74"/>
      <c r="K137" s="74"/>
      <c r="L137" s="74"/>
    </row>
    <row r="138" spans="1:13" x14ac:dyDescent="0.25">
      <c r="A138" s="22"/>
      <c r="C138" s="74"/>
      <c r="D138" s="74"/>
      <c r="E138" s="74"/>
      <c r="F138" s="74"/>
      <c r="G138" s="74"/>
      <c r="H138" s="74"/>
      <c r="I138" s="74"/>
      <c r="J138" s="74"/>
      <c r="K138" s="74"/>
      <c r="L138" s="74"/>
    </row>
    <row r="139" spans="1:13" x14ac:dyDescent="0.25">
      <c r="A139" s="22"/>
      <c r="B139" s="28" t="s">
        <v>18</v>
      </c>
      <c r="C139" s="74"/>
      <c r="D139" s="74"/>
      <c r="E139" s="74">
        <f>E91*1000/(E116/1000)</f>
        <v>80.969933491593281</v>
      </c>
      <c r="F139" s="74">
        <f>F91*1000/(F116/1000)*R122</f>
        <v>81.270627253822568</v>
      </c>
      <c r="G139" s="74">
        <f>G91*1000/(G116/1000)*S122</f>
        <v>76.280788347391322</v>
      </c>
      <c r="H139" s="74"/>
      <c r="I139" s="74">
        <f>I91*1000/(I116/1000)</f>
        <v>52.649830907104416</v>
      </c>
      <c r="J139" s="74"/>
      <c r="K139" s="74"/>
      <c r="L139" s="74"/>
      <c r="M139" s="74"/>
    </row>
    <row r="140" spans="1:13" x14ac:dyDescent="0.25">
      <c r="A140" s="22"/>
      <c r="B140" s="77" t="s">
        <v>72</v>
      </c>
      <c r="C140" s="74"/>
      <c r="D140" s="74"/>
      <c r="E140" s="74">
        <f>E92*1000/(E117/1000)*Q122</f>
        <v>134.02382364166817</v>
      </c>
      <c r="F140" s="74"/>
      <c r="G140" s="74"/>
      <c r="H140" s="74">
        <f>H92*1000/(H117/1000)</f>
        <v>112.15036707067149</v>
      </c>
      <c r="I140" s="74"/>
      <c r="J140" s="74"/>
      <c r="K140" s="74"/>
      <c r="L140" s="74"/>
    </row>
    <row r="141" spans="1:13" x14ac:dyDescent="0.25">
      <c r="A141" s="22"/>
      <c r="B141" s="77" t="s">
        <v>73</v>
      </c>
      <c r="C141" s="74"/>
      <c r="D141" s="74"/>
      <c r="E141" s="74">
        <f>E93*1000/(E118/1000)*Q122</f>
        <v>50.88140530398406</v>
      </c>
      <c r="F141" s="74"/>
      <c r="G141" s="74"/>
      <c r="H141" s="74">
        <f>H93*1000/(H118/1000)</f>
        <v>51.026499764270469</v>
      </c>
      <c r="I141" s="74"/>
      <c r="J141" s="74"/>
      <c r="K141" s="74"/>
      <c r="L141" s="74"/>
    </row>
    <row r="142" spans="1:13" x14ac:dyDescent="0.25">
      <c r="A142" s="22"/>
      <c r="C142" s="74"/>
      <c r="D142" s="74"/>
      <c r="E142" s="74"/>
      <c r="F142" s="74"/>
      <c r="G142" s="74"/>
      <c r="H142" s="74"/>
      <c r="I142" s="74"/>
      <c r="J142" s="74"/>
      <c r="K142" s="74"/>
      <c r="L142" s="74"/>
    </row>
    <row r="143" spans="1:13" x14ac:dyDescent="0.25">
      <c r="A143" s="22"/>
      <c r="B143" s="13" t="s">
        <v>98</v>
      </c>
      <c r="C143" s="74"/>
      <c r="D143" s="74"/>
      <c r="E143" s="80">
        <f>E98*1000/(E122/1000)*Q122</f>
        <v>80.97463361394648</v>
      </c>
      <c r="F143" s="80">
        <f>F98*1000/(F122/1000)*R122</f>
        <v>78.737675499864366</v>
      </c>
      <c r="G143" s="80">
        <f>G98*1000/(G122/1000)*S122</f>
        <v>76.038694323554139</v>
      </c>
      <c r="H143" s="80">
        <f>H98*1000/(H122/1000)</f>
        <v>80.029009789725407</v>
      </c>
      <c r="I143" s="80">
        <f>I98*1000/(I122/1000)</f>
        <v>52.157007768216872</v>
      </c>
      <c r="J143" s="74"/>
      <c r="K143" s="74"/>
      <c r="L143" s="74"/>
      <c r="M143" s="74"/>
    </row>
    <row r="144" spans="1:13" x14ac:dyDescent="0.25">
      <c r="A144" s="22"/>
      <c r="C144" s="74"/>
      <c r="D144" s="74"/>
      <c r="E144" s="74"/>
      <c r="F144" s="74"/>
      <c r="G144" s="74"/>
      <c r="H144" s="74"/>
      <c r="I144" s="74"/>
      <c r="J144" s="74"/>
      <c r="K144" s="74"/>
      <c r="L144" s="74"/>
      <c r="M144" s="74"/>
    </row>
    <row r="145" spans="1:16" x14ac:dyDescent="0.25">
      <c r="A145" s="22"/>
      <c r="B145" s="16" t="s">
        <v>99</v>
      </c>
    </row>
    <row r="146" spans="1:16" x14ac:dyDescent="0.25">
      <c r="A146" s="22"/>
      <c r="B146" s="17" t="s">
        <v>100</v>
      </c>
    </row>
    <row r="147" spans="1:16" x14ac:dyDescent="0.25">
      <c r="A147" s="22"/>
      <c r="B147" s="17" t="s">
        <v>21</v>
      </c>
    </row>
    <row r="148" spans="1:16" x14ac:dyDescent="0.25">
      <c r="A148" s="22"/>
      <c r="B148" s="77"/>
      <c r="C148" s="74"/>
      <c r="D148" s="74"/>
      <c r="I148" s="89"/>
      <c r="J148" s="80"/>
      <c r="K148" s="80"/>
      <c r="L148" s="80"/>
      <c r="M148" s="93"/>
    </row>
    <row r="149" spans="1:16" x14ac:dyDescent="0.25">
      <c r="A149" s="22"/>
      <c r="C149" s="74"/>
      <c r="D149" s="74"/>
    </row>
    <row r="150" spans="1:16" x14ac:dyDescent="0.25">
      <c r="A150" s="22"/>
      <c r="B150" s="37" t="s">
        <v>101</v>
      </c>
      <c r="C150" s="74"/>
      <c r="D150" s="74"/>
      <c r="I150" s="96"/>
      <c r="M150" s="93"/>
    </row>
    <row r="151" spans="1:16" x14ac:dyDescent="0.25">
      <c r="A151" s="22"/>
      <c r="B151" s="77"/>
      <c r="C151" s="74"/>
      <c r="D151" s="74"/>
      <c r="I151" s="89"/>
      <c r="J151" s="97"/>
      <c r="K151" s="97"/>
      <c r="L151" s="97"/>
      <c r="M151" s="93"/>
    </row>
    <row r="152" spans="1:16" x14ac:dyDescent="0.25">
      <c r="A152" s="22"/>
      <c r="B152" s="16" t="s">
        <v>102</v>
      </c>
      <c r="C152" s="74"/>
      <c r="D152" s="74"/>
    </row>
    <row r="153" spans="1:16" x14ac:dyDescent="0.25">
      <c r="A153" s="22"/>
      <c r="B153" s="89" t="s">
        <v>103</v>
      </c>
      <c r="C153" s="84">
        <f>J98</f>
        <v>1191690.3357550192</v>
      </c>
      <c r="G153" s="81"/>
    </row>
    <row r="154" spans="1:16" x14ac:dyDescent="0.25">
      <c r="A154" s="22"/>
      <c r="C154" s="89" t="s">
        <v>104</v>
      </c>
      <c r="D154" s="95">
        <f>+C153/SUMPRODUCT('BGS PTY16 Cost Alloc'!E72:I72,'BGS PTY16 Cost Alloc'!E95:I95)*1000</f>
        <v>69.788357090327281</v>
      </c>
      <c r="E154" s="13" t="s">
        <v>105</v>
      </c>
      <c r="I154" s="13" t="s">
        <v>256</v>
      </c>
    </row>
    <row r="155" spans="1:16" x14ac:dyDescent="0.25">
      <c r="A155" s="22"/>
      <c r="B155" s="242"/>
      <c r="C155" s="249" t="s">
        <v>271</v>
      </c>
      <c r="D155" s="250">
        <f>C153/SUMPRODUCT('BGS PTY16 Cost Alloc'!E72:I72,'BGS PTY16 Cost Alloc'!E98:I98)*1000</f>
        <v>70.273627107707512</v>
      </c>
      <c r="E155" s="242" t="s">
        <v>269</v>
      </c>
      <c r="F155" s="242"/>
      <c r="G155" s="242"/>
      <c r="H155" s="242"/>
      <c r="I155" s="242"/>
      <c r="J155" s="252"/>
      <c r="K155" s="252"/>
      <c r="L155" s="252"/>
    </row>
    <row r="156" spans="1:16" ht="15.6" x14ac:dyDescent="0.3">
      <c r="A156" s="22"/>
      <c r="B156" s="534" t="str">
        <f>$B$1</f>
        <v xml:space="preserve">Jersey Central Power &amp; Light </v>
      </c>
      <c r="C156" s="534"/>
      <c r="D156" s="534"/>
      <c r="E156" s="534"/>
      <c r="F156" s="534"/>
      <c r="G156" s="534"/>
      <c r="H156" s="534"/>
      <c r="I156" s="534"/>
      <c r="J156" s="534"/>
      <c r="K156" s="534"/>
      <c r="L156" s="534"/>
      <c r="M156" s="534"/>
      <c r="N156" s="534"/>
    </row>
    <row r="157" spans="1:16" ht="15.6" x14ac:dyDescent="0.3">
      <c r="A157" s="22"/>
      <c r="B157" s="534" t="str">
        <f>$B$2</f>
        <v>Attachment 2</v>
      </c>
      <c r="C157" s="534"/>
      <c r="D157" s="534"/>
      <c r="E157" s="534"/>
      <c r="F157" s="534"/>
      <c r="G157" s="534"/>
      <c r="H157" s="534"/>
      <c r="I157" s="534"/>
      <c r="J157" s="534"/>
      <c r="K157" s="534"/>
      <c r="L157" s="534"/>
      <c r="M157" s="534"/>
      <c r="N157" s="534"/>
      <c r="P157" s="440"/>
    </row>
    <row r="158" spans="1:16" ht="15.6" x14ac:dyDescent="0.3">
      <c r="A158" s="22"/>
      <c r="B158" s="454"/>
      <c r="C158" s="454"/>
      <c r="D158" s="454"/>
      <c r="E158" s="454"/>
      <c r="F158" s="454"/>
      <c r="G158" s="454"/>
      <c r="H158" s="454"/>
      <c r="I158" s="454"/>
      <c r="J158" s="454"/>
      <c r="K158" s="454"/>
      <c r="L158" s="454"/>
      <c r="M158" s="454"/>
      <c r="N158" s="454"/>
      <c r="P158" s="454"/>
    </row>
    <row r="159" spans="1:16" x14ac:dyDescent="0.25">
      <c r="A159" s="18" t="s">
        <v>263</v>
      </c>
      <c r="B159" s="248" t="s">
        <v>284</v>
      </c>
      <c r="C159" s="242"/>
      <c r="D159" s="242"/>
      <c r="E159" s="242"/>
      <c r="F159" s="242"/>
      <c r="G159" s="242"/>
      <c r="H159" s="242"/>
      <c r="I159" s="242"/>
      <c r="J159" s="16" t="s">
        <v>256</v>
      </c>
      <c r="K159" s="16"/>
      <c r="L159" s="16"/>
      <c r="M159" s="16"/>
      <c r="N159" s="16"/>
    </row>
    <row r="160" spans="1:16" x14ac:dyDescent="0.25">
      <c r="A160" s="22"/>
      <c r="B160" s="248"/>
      <c r="C160" s="242"/>
      <c r="D160" s="242"/>
      <c r="E160" s="242"/>
      <c r="F160" s="242"/>
      <c r="G160" s="242"/>
      <c r="H160" s="242"/>
      <c r="I160" s="242"/>
      <c r="P160" s="16"/>
    </row>
    <row r="161" spans="1:16" x14ac:dyDescent="0.25">
      <c r="A161" s="22"/>
      <c r="B161" s="248" t="s">
        <v>97</v>
      </c>
      <c r="C161" s="242"/>
      <c r="D161" s="242"/>
      <c r="E161" s="242"/>
      <c r="F161" s="242"/>
      <c r="G161" s="242"/>
      <c r="H161" s="242"/>
      <c r="I161" s="242"/>
    </row>
    <row r="162" spans="1:16" x14ac:dyDescent="0.25">
      <c r="A162" s="22"/>
      <c r="B162" s="257" t="s">
        <v>250</v>
      </c>
      <c r="C162" s="242"/>
      <c r="D162" s="242"/>
      <c r="E162" s="242"/>
      <c r="F162" s="242"/>
      <c r="G162" s="242"/>
      <c r="H162" s="242"/>
      <c r="I162" s="242"/>
    </row>
    <row r="163" spans="1:16" x14ac:dyDescent="0.25">
      <c r="A163" s="22"/>
      <c r="B163" s="248"/>
      <c r="C163" s="242"/>
      <c r="D163" s="242"/>
      <c r="E163" s="242"/>
      <c r="F163" s="242"/>
      <c r="G163" s="242"/>
      <c r="H163" s="242"/>
      <c r="I163" s="242"/>
    </row>
    <row r="164" spans="1:16" x14ac:dyDescent="0.25">
      <c r="A164" s="22"/>
      <c r="B164" s="242"/>
      <c r="C164" s="245"/>
      <c r="D164" s="245"/>
      <c r="E164" s="245" t="str">
        <f>+E$10</f>
        <v>RT{1}</v>
      </c>
      <c r="F164" s="245" t="str">
        <f>+F$10</f>
        <v>RS{2}</v>
      </c>
      <c r="G164" s="245" t="str">
        <f>+G$10</f>
        <v>GS{3}</v>
      </c>
      <c r="H164" s="245" t="str">
        <f>+H$10</f>
        <v>GST {4}</v>
      </c>
      <c r="I164" s="245" t="str">
        <f>+I$10</f>
        <v>OL/SL</v>
      </c>
      <c r="J164" s="26"/>
      <c r="K164" s="26"/>
      <c r="L164" s="26"/>
      <c r="M164" s="26"/>
      <c r="N164" s="26"/>
    </row>
    <row r="165" spans="1:16" x14ac:dyDescent="0.25">
      <c r="A165" s="22"/>
      <c r="B165" s="242"/>
      <c r="C165" s="245"/>
      <c r="D165" s="245"/>
      <c r="E165" s="245"/>
      <c r="F165" s="245"/>
      <c r="G165" s="245"/>
      <c r="H165" s="242"/>
      <c r="I165" s="242"/>
      <c r="P165" s="26"/>
    </row>
    <row r="166" spans="1:16" x14ac:dyDescent="0.25">
      <c r="A166" s="22"/>
      <c r="B166" s="258" t="s">
        <v>17</v>
      </c>
      <c r="C166" s="259"/>
      <c r="D166" s="259"/>
      <c r="E166" s="260">
        <f>+ROUND(E133/$D$155,3)</f>
        <v>1.1779999999999999</v>
      </c>
      <c r="F166" s="533">
        <f>ROUND((F88+F89)*R122*1000000/(F113+F114)/D155,3)</f>
        <v>1.07</v>
      </c>
      <c r="G166" s="260">
        <f>+ROUND(G133/$D$155,3)</f>
        <v>1.0760000000000001</v>
      </c>
      <c r="H166" s="260"/>
      <c r="I166" s="260">
        <f>+ROUND(I133/$D$155,3)</f>
        <v>0.72799999999999998</v>
      </c>
      <c r="J166" s="98"/>
      <c r="K166" s="98"/>
      <c r="L166" s="98"/>
      <c r="M166" s="98"/>
      <c r="N166" s="98"/>
    </row>
    <row r="167" spans="1:16" x14ac:dyDescent="0.25">
      <c r="A167" s="22"/>
      <c r="B167" s="261" t="s">
        <v>72</v>
      </c>
      <c r="C167" s="262"/>
      <c r="D167" s="262"/>
      <c r="E167" s="260">
        <f>+ROUND(E134/$D$155,3)</f>
        <v>1.8720000000000001</v>
      </c>
      <c r="F167" s="263"/>
      <c r="G167" s="263"/>
      <c r="H167" s="260">
        <f>+ROUND(H134/$D$155,3)</f>
        <v>1.82</v>
      </c>
      <c r="I167" s="263"/>
      <c r="J167" s="100"/>
      <c r="K167" s="100"/>
      <c r="L167" s="100"/>
      <c r="M167" s="100"/>
      <c r="N167" s="100"/>
      <c r="P167" s="98"/>
    </row>
    <row r="168" spans="1:16" x14ac:dyDescent="0.25">
      <c r="A168" s="22"/>
      <c r="B168" s="261" t="s">
        <v>73</v>
      </c>
      <c r="C168" s="262"/>
      <c r="D168" s="262"/>
      <c r="E168" s="260">
        <f>+ROUND(E135/$D$155,3)</f>
        <v>0.68400000000000005</v>
      </c>
      <c r="F168" s="263"/>
      <c r="G168" s="263"/>
      <c r="H168" s="260">
        <f>+ROUND(H135/$D$155,3)</f>
        <v>0.69799999999999995</v>
      </c>
      <c r="I168" s="263"/>
      <c r="J168" s="100"/>
      <c r="K168" s="100"/>
      <c r="L168" s="100"/>
      <c r="M168" s="100"/>
      <c r="N168" s="100"/>
      <c r="O168" s="125">
        <f>(F88+F89)*1000000/(F113+F114)</f>
        <v>75.777870989897025</v>
      </c>
      <c r="P168" s="100"/>
    </row>
    <row r="169" spans="1:16" x14ac:dyDescent="0.25">
      <c r="A169" s="22"/>
      <c r="B169" s="77"/>
      <c r="C169" s="100"/>
      <c r="D169" s="100"/>
      <c r="E169" s="124"/>
      <c r="G169" s="125"/>
      <c r="H169" s="124"/>
      <c r="I169" s="125"/>
      <c r="K169" s="125"/>
      <c r="L169" s="125"/>
      <c r="M169" s="125"/>
      <c r="N169" s="125"/>
      <c r="O169" s="125">
        <f>F88*1000000/F113</f>
        <v>71.701943748277401</v>
      </c>
      <c r="P169" s="100"/>
    </row>
    <row r="170" spans="1:16" x14ac:dyDescent="0.25">
      <c r="A170" s="22"/>
      <c r="B170" s="77"/>
      <c r="C170" s="100"/>
      <c r="D170" s="100"/>
      <c r="E170" s="124"/>
      <c r="G170" s="125"/>
      <c r="H170" s="124"/>
      <c r="I170" s="125"/>
      <c r="K170" s="125"/>
      <c r="L170" s="125"/>
      <c r="M170" s="125"/>
      <c r="N170" s="125"/>
      <c r="O170" s="125">
        <f>F89*1000000/F114</f>
        <v>80.353943748277402</v>
      </c>
      <c r="P170" s="125"/>
    </row>
    <row r="171" spans="1:16" x14ac:dyDescent="0.25">
      <c r="A171" s="22"/>
      <c r="C171" s="113"/>
      <c r="D171" s="113"/>
      <c r="E171" s="126" t="s">
        <v>156</v>
      </c>
      <c r="F171" s="124">
        <f>ROUND(O169-O168,3)</f>
        <v>-4.0759999999999996</v>
      </c>
      <c r="G171" s="125"/>
      <c r="H171" s="124"/>
      <c r="I171" s="125"/>
      <c r="J171" s="100"/>
      <c r="K171" s="100"/>
      <c r="L171" s="100"/>
      <c r="M171" s="100"/>
      <c r="N171" s="100"/>
      <c r="P171" s="100"/>
    </row>
    <row r="172" spans="1:16" x14ac:dyDescent="0.25">
      <c r="A172" s="22"/>
      <c r="C172" s="113"/>
      <c r="D172" s="113"/>
      <c r="E172" s="126" t="s">
        <v>157</v>
      </c>
      <c r="F172" s="124">
        <f>ROUND(O170-O168,3)</f>
        <v>4.5759999999999996</v>
      </c>
      <c r="G172" s="125"/>
      <c r="H172" s="124"/>
      <c r="I172" s="125"/>
      <c r="J172" s="100"/>
      <c r="K172" s="100"/>
      <c r="L172" s="100"/>
      <c r="M172" s="100"/>
      <c r="N172" s="100"/>
      <c r="P172" s="100"/>
    </row>
    <row r="173" spans="1:16" x14ac:dyDescent="0.25">
      <c r="A173" s="22"/>
      <c r="C173" s="100"/>
      <c r="D173" s="100"/>
      <c r="E173" s="125"/>
      <c r="F173" s="125"/>
      <c r="G173" s="125"/>
      <c r="H173" s="125"/>
      <c r="I173" s="125"/>
      <c r="J173" s="100"/>
      <c r="K173" s="100"/>
      <c r="L173" s="100"/>
      <c r="M173" s="100"/>
      <c r="N173" s="100"/>
      <c r="P173" s="100"/>
    </row>
    <row r="174" spans="1:16" x14ac:dyDescent="0.25">
      <c r="A174" s="22"/>
      <c r="B174" s="258" t="s">
        <v>18</v>
      </c>
      <c r="C174" s="259"/>
      <c r="D174" s="259"/>
      <c r="E174" s="260">
        <f>ROUND(E139/$D$155,3)</f>
        <v>1.1519999999999999</v>
      </c>
      <c r="F174" s="260">
        <f>ROUND(F139/$D$155,3)</f>
        <v>1.1559999999999999</v>
      </c>
      <c r="G174" s="260">
        <f>ROUND(G139/$D$155,3)</f>
        <v>1.085</v>
      </c>
      <c r="H174" s="260"/>
      <c r="I174" s="260">
        <f>ROUND(I139/$D$155,3)</f>
        <v>0.749</v>
      </c>
      <c r="J174" s="98"/>
      <c r="K174" s="98"/>
      <c r="L174" s="98"/>
      <c r="M174" s="98"/>
      <c r="N174" s="98"/>
      <c r="P174" s="100"/>
    </row>
    <row r="175" spans="1:16" x14ac:dyDescent="0.25">
      <c r="A175" s="22"/>
      <c r="B175" s="261" t="s">
        <v>72</v>
      </c>
      <c r="C175" s="262"/>
      <c r="D175" s="262"/>
      <c r="E175" s="260">
        <f>ROUND(E140/$D$155,3)</f>
        <v>1.907</v>
      </c>
      <c r="F175" s="263"/>
      <c r="G175" s="263"/>
      <c r="H175" s="260">
        <f>ROUND(H140/$D$155,3)</f>
        <v>1.5960000000000001</v>
      </c>
      <c r="I175" s="263"/>
      <c r="J175" s="100"/>
      <c r="K175" s="100"/>
      <c r="L175" s="100"/>
      <c r="M175" s="100"/>
      <c r="N175" s="100"/>
      <c r="P175" s="98"/>
    </row>
    <row r="176" spans="1:16" x14ac:dyDescent="0.25">
      <c r="A176" s="22"/>
      <c r="B176" s="261" t="s">
        <v>73</v>
      </c>
      <c r="C176" s="262"/>
      <c r="D176" s="262"/>
      <c r="E176" s="260">
        <f>ROUND(E141/$D$155,3)</f>
        <v>0.72399999999999998</v>
      </c>
      <c r="F176" s="263"/>
      <c r="G176" s="263"/>
      <c r="H176" s="260">
        <f>ROUND(H141/$D$155,3)</f>
        <v>0.72599999999999998</v>
      </c>
      <c r="I176" s="263"/>
      <c r="J176" s="100"/>
      <c r="K176" s="100"/>
      <c r="L176" s="100"/>
      <c r="M176" s="100"/>
      <c r="N176" s="100"/>
      <c r="P176" s="100"/>
    </row>
    <row r="177" spans="1:16" x14ac:dyDescent="0.25">
      <c r="A177" s="22"/>
      <c r="B177" s="242"/>
      <c r="C177" s="264"/>
      <c r="D177" s="264"/>
      <c r="E177" s="265"/>
      <c r="F177" s="265"/>
      <c r="G177" s="265"/>
      <c r="H177" s="265"/>
      <c r="I177" s="265"/>
      <c r="J177" s="99"/>
      <c r="K177" s="99"/>
      <c r="L177" s="99"/>
      <c r="M177" s="99"/>
      <c r="N177" s="99"/>
      <c r="P177" s="100"/>
    </row>
    <row r="178" spans="1:16" x14ac:dyDescent="0.25">
      <c r="A178" s="22"/>
      <c r="B178" s="242" t="s">
        <v>107</v>
      </c>
      <c r="C178" s="264"/>
      <c r="D178" s="264"/>
      <c r="E178" s="266">
        <f>ROUND(E143/$D$155,3)</f>
        <v>1.1519999999999999</v>
      </c>
      <c r="F178" s="266">
        <f>ROUND(F143/$D$155,3)</f>
        <v>1.1200000000000001</v>
      </c>
      <c r="G178" s="266">
        <f>ROUND(G143/$D$155,3)</f>
        <v>1.0820000000000001</v>
      </c>
      <c r="H178" s="266">
        <f>ROUND(H143/$D$155,3)</f>
        <v>1.139</v>
      </c>
      <c r="I178" s="266">
        <f>ROUND(I143/$D$155,3)</f>
        <v>0.74199999999999999</v>
      </c>
      <c r="J178" s="99"/>
      <c r="K178" s="99"/>
      <c r="L178" s="99"/>
      <c r="M178" s="99"/>
      <c r="N178" s="99"/>
      <c r="P178" s="99"/>
    </row>
    <row r="179" spans="1:16" x14ac:dyDescent="0.25">
      <c r="A179" s="22"/>
      <c r="P179" s="99"/>
    </row>
    <row r="180" spans="1:16" x14ac:dyDescent="0.25">
      <c r="A180" s="22"/>
    </row>
    <row r="181" spans="1:16" x14ac:dyDescent="0.25">
      <c r="J181" s="416"/>
    </row>
    <row r="182" spans="1:16" x14ac:dyDescent="0.25">
      <c r="J182" s="81"/>
    </row>
  </sheetData>
  <sheetProtection algorithmName="SHA-512" hashValue="P/oFNW8KUk5cPX0NS9NHZERwJZE/qjZoyyBe2LksKG5PrieX4vHwzRwaPyowD5UrJBjHsOLPg7sP8zK/bcLvvw==" saltValue="vdnASvuRsFmMJzFqAPdIpg==" spinCount="100000" sheet="1" objects="1" scenarios="1"/>
  <mergeCells count="12">
    <mergeCell ref="B156:N156"/>
    <mergeCell ref="B157:N157"/>
    <mergeCell ref="B1:N1"/>
    <mergeCell ref="B2:N2"/>
    <mergeCell ref="B5:N5"/>
    <mergeCell ref="B101:N101"/>
    <mergeCell ref="B54:N54"/>
    <mergeCell ref="B55:N55"/>
    <mergeCell ref="B56:N56"/>
    <mergeCell ref="B100:N100"/>
    <mergeCell ref="B3:N3"/>
    <mergeCell ref="B102:N102"/>
  </mergeCells>
  <phoneticPr fontId="33" type="noConversion"/>
  <pageMargins left="0.7" right="0.7" top="0.75" bottom="0.75" header="0.3" footer="0.3"/>
  <pageSetup scale="61" fitToHeight="0" orientation="landscape" r:id="rId1"/>
  <headerFooter alignWithMargins="0">
    <oddFooter>&amp;L&amp;F    &amp;A&amp;CPage &amp;P of &amp;N&amp;R&amp;D</oddFooter>
  </headerFooter>
  <rowBreaks count="3" manualBreakCount="3">
    <brk id="53" max="24" man="1"/>
    <brk id="98" max="24" man="1"/>
    <brk id="155" max="24" man="1"/>
  </rowBreaks>
  <colBreaks count="1" manualBreakCount="1">
    <brk id="15" max="2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217"/>
  <sheetViews>
    <sheetView workbookViewId="0"/>
  </sheetViews>
  <sheetFormatPr defaultColWidth="9.109375" defaultRowHeight="13.2" x14ac:dyDescent="0.25"/>
  <cols>
    <col min="1" max="1" width="16.109375" style="12" customWidth="1"/>
    <col min="2" max="2" width="27.88671875" style="13" customWidth="1"/>
    <col min="3" max="3" width="11.88671875" style="13" customWidth="1"/>
    <col min="4" max="4" width="9.5546875" style="13" customWidth="1"/>
    <col min="5" max="5" width="14.44140625" style="13" customWidth="1"/>
    <col min="6" max="6" width="15" style="13" customWidth="1"/>
    <col min="7" max="7" width="16.88671875" style="13" bestFit="1" customWidth="1"/>
    <col min="8" max="9" width="14.109375" style="13" customWidth="1"/>
    <col min="10" max="10" width="15.88671875" style="13" customWidth="1"/>
    <col min="11" max="11" width="3.109375" style="13" hidden="1" customWidth="1"/>
    <col min="12" max="12" width="5.5546875" style="13" hidden="1" customWidth="1"/>
    <col min="13" max="14" width="4.5546875" style="13" hidden="1" customWidth="1"/>
    <col min="15" max="15" width="20.21875" style="13" customWidth="1"/>
    <col min="16" max="16" width="21.44140625" style="13" customWidth="1"/>
    <col min="17" max="17" width="14.77734375" style="13" customWidth="1"/>
    <col min="18" max="19" width="13.6640625" style="13" customWidth="1"/>
    <col min="20" max="20" width="14.21875" style="13" customWidth="1"/>
    <col min="21" max="21" width="14.109375" style="13" customWidth="1"/>
    <col min="22" max="22" width="13.6640625" style="13" customWidth="1"/>
    <col min="23" max="23" width="14.88671875" style="13" bestFit="1" customWidth="1"/>
    <col min="24" max="24" width="14.33203125" style="13" bestFit="1" customWidth="1"/>
    <col min="25" max="25" width="18" style="13" customWidth="1"/>
    <col min="26" max="26" width="14.109375" style="13" customWidth="1"/>
    <col min="27" max="27" width="13.6640625" style="13" customWidth="1"/>
    <col min="28" max="28" width="13.5546875" style="13" customWidth="1"/>
    <col min="29" max="29" width="13.6640625" style="13" customWidth="1"/>
    <col min="30" max="30" width="17.5546875" style="13" customWidth="1"/>
    <col min="31" max="31" width="16.6640625" style="13" customWidth="1"/>
    <col min="32" max="32" width="14.44140625" style="13" customWidth="1"/>
    <col min="33" max="16384" width="9.109375" style="13"/>
  </cols>
  <sheetData>
    <row r="1" spans="1:16" ht="15.6" x14ac:dyDescent="0.3">
      <c r="B1" s="534" t="s">
        <v>69</v>
      </c>
      <c r="C1" s="534"/>
      <c r="D1" s="534"/>
      <c r="E1" s="534"/>
      <c r="F1" s="534"/>
      <c r="G1" s="534"/>
      <c r="H1" s="534"/>
      <c r="I1" s="534"/>
      <c r="J1" s="534"/>
      <c r="K1" s="534"/>
      <c r="L1" s="534"/>
      <c r="M1" s="534"/>
      <c r="N1" s="534"/>
    </row>
    <row r="2" spans="1:16" ht="15.6" x14ac:dyDescent="0.3">
      <c r="B2" s="534" t="s">
        <v>187</v>
      </c>
      <c r="C2" s="534"/>
      <c r="D2" s="534"/>
      <c r="E2" s="534"/>
      <c r="F2" s="534"/>
      <c r="G2" s="534"/>
      <c r="H2" s="534"/>
      <c r="I2" s="534"/>
      <c r="J2" s="534"/>
      <c r="K2" s="534"/>
      <c r="L2" s="534"/>
      <c r="M2" s="534"/>
      <c r="N2" s="534"/>
    </row>
    <row r="3" spans="1:16" ht="15.6" x14ac:dyDescent="0.3">
      <c r="B3" s="534" t="str">
        <f>'BGS PTY16 Cost Alloc'!$B$3</f>
        <v>2018 BGS Auction Cost and Bid Factor Tables</v>
      </c>
      <c r="C3" s="534"/>
      <c r="D3" s="534"/>
      <c r="E3" s="534"/>
      <c r="F3" s="534"/>
      <c r="G3" s="534"/>
      <c r="H3" s="534"/>
      <c r="I3" s="534"/>
      <c r="J3" s="534"/>
      <c r="K3" s="534"/>
      <c r="L3" s="534"/>
      <c r="M3" s="534"/>
      <c r="N3" s="534"/>
    </row>
    <row r="4" spans="1:16" ht="15.6" x14ac:dyDescent="0.3">
      <c r="B4" s="465"/>
      <c r="C4" s="465"/>
      <c r="D4" s="465"/>
      <c r="E4" s="465"/>
      <c r="F4" s="465"/>
      <c r="G4" s="465"/>
      <c r="H4" s="465"/>
      <c r="I4" s="465"/>
      <c r="J4" s="465"/>
      <c r="K4" s="465"/>
      <c r="L4" s="465"/>
      <c r="M4" s="465"/>
      <c r="N4" s="465"/>
    </row>
    <row r="5" spans="1:16" ht="15.6" x14ac:dyDescent="0.3">
      <c r="B5" s="534" t="s">
        <v>414</v>
      </c>
      <c r="C5" s="534"/>
      <c r="D5" s="534"/>
      <c r="E5" s="534"/>
      <c r="F5" s="534"/>
      <c r="G5" s="534"/>
      <c r="H5" s="534"/>
      <c r="I5" s="534"/>
      <c r="J5" s="534"/>
      <c r="K5" s="534"/>
      <c r="L5" s="534"/>
      <c r="M5" s="534"/>
      <c r="N5" s="534"/>
    </row>
    <row r="6" spans="1:16" x14ac:dyDescent="0.25">
      <c r="N6" s="121" t="s">
        <v>256</v>
      </c>
    </row>
    <row r="7" spans="1:16" x14ac:dyDescent="0.25">
      <c r="A7" s="18" t="s">
        <v>257</v>
      </c>
      <c r="B7" s="173" t="s">
        <v>324</v>
      </c>
      <c r="C7" s="20"/>
      <c r="E7" s="166" t="s">
        <v>307</v>
      </c>
      <c r="F7" s="314">
        <v>20</v>
      </c>
      <c r="G7" s="16"/>
      <c r="P7" s="295" t="s">
        <v>256</v>
      </c>
    </row>
    <row r="8" spans="1:16" ht="14.25" customHeight="1" x14ac:dyDescent="0.25">
      <c r="A8" s="22"/>
      <c r="B8" s="13" t="s">
        <v>239</v>
      </c>
      <c r="C8" s="23"/>
      <c r="D8" s="23"/>
      <c r="M8" s="23"/>
      <c r="N8" s="23"/>
    </row>
    <row r="9" spans="1:16" x14ac:dyDescent="0.25">
      <c r="A9" s="22"/>
    </row>
    <row r="10" spans="1:16" x14ac:dyDescent="0.25">
      <c r="A10" s="22"/>
      <c r="B10" t="s">
        <v>134</v>
      </c>
      <c r="C10"/>
      <c r="D10"/>
      <c r="E10" s="26" t="s">
        <v>61</v>
      </c>
      <c r="F10" s="26" t="s">
        <v>62</v>
      </c>
      <c r="G10" s="26" t="s">
        <v>65</v>
      </c>
      <c r="H10" s="26" t="s">
        <v>203</v>
      </c>
      <c r="I10" s="26" t="s">
        <v>55</v>
      </c>
      <c r="J10"/>
      <c r="K10"/>
      <c r="L10"/>
      <c r="M10" s="30"/>
      <c r="N10" s="30"/>
    </row>
    <row r="11" spans="1:16" x14ac:dyDescent="0.25">
      <c r="A11" s="22"/>
      <c r="B11" s="28" t="s">
        <v>17</v>
      </c>
      <c r="C11" s="150"/>
      <c r="D11" s="150"/>
      <c r="E11" s="150">
        <f>'BGS PTY15 Cost Alloc'!E265</f>
        <v>173.04563903509865</v>
      </c>
      <c r="F11" s="150"/>
      <c r="G11" s="150">
        <f>'BGS PTY15 Cost Alloc'!G265</f>
        <v>169452.17808774527</v>
      </c>
      <c r="H11" s="145"/>
      <c r="I11" s="150">
        <f>'BGS PTY15 Cost Alloc'!I265</f>
        <v>2074.7880002964353</v>
      </c>
      <c r="J11" s="150"/>
      <c r="K11" s="150"/>
      <c r="L11" s="150"/>
      <c r="M11" s="30"/>
      <c r="N11" s="30"/>
    </row>
    <row r="12" spans="1:16" x14ac:dyDescent="0.25">
      <c r="A12" s="22"/>
      <c r="B12" s="77" t="s">
        <v>72</v>
      </c>
      <c r="C12" s="150"/>
      <c r="D12" s="150"/>
      <c r="E12" s="150">
        <f>'BGS PTY15 Cost Alloc'!E266</f>
        <v>3900.2688555160457</v>
      </c>
      <c r="F12" s="150"/>
      <c r="G12" s="150"/>
      <c r="H12" s="150">
        <f>'BGS PTY15 Cost Alloc'!H266</f>
        <v>1895.9757529164999</v>
      </c>
      <c r="I12" s="150"/>
      <c r="J12" s="150"/>
      <c r="K12" s="150"/>
      <c r="L12" s="150"/>
      <c r="M12" s="30"/>
      <c r="N12" s="30"/>
    </row>
    <row r="13" spans="1:16" x14ac:dyDescent="0.25">
      <c r="A13" s="22"/>
      <c r="B13" s="77" t="s">
        <v>73</v>
      </c>
      <c r="C13" s="150"/>
      <c r="D13" s="150"/>
      <c r="E13" s="150">
        <f>'BGS PTY15 Cost Alloc'!E267</f>
        <v>2264.1619118191848</v>
      </c>
      <c r="F13" s="150"/>
      <c r="G13" s="150"/>
      <c r="H13" s="150">
        <f>'BGS PTY15 Cost Alloc'!H267</f>
        <v>910.17012782214738</v>
      </c>
      <c r="I13" s="150"/>
      <c r="J13" s="150"/>
      <c r="K13" s="150"/>
      <c r="L13" s="150"/>
      <c r="M13" s="30"/>
      <c r="N13" s="30"/>
    </row>
    <row r="14" spans="1:16" x14ac:dyDescent="0.25">
      <c r="A14" s="22"/>
      <c r="B14" s="89" t="s">
        <v>142</v>
      </c>
      <c r="C14" s="150"/>
      <c r="D14" s="150"/>
      <c r="E14" s="150"/>
      <c r="F14" s="150">
        <f>'BGS PTY15 Cost Alloc'!F268</f>
        <v>141550.33001371849</v>
      </c>
      <c r="G14" s="150"/>
      <c r="H14" s="145"/>
      <c r="I14" s="150"/>
      <c r="J14" s="150"/>
      <c r="K14" s="150"/>
      <c r="L14" s="150"/>
      <c r="M14" s="30"/>
      <c r="N14" s="30"/>
    </row>
    <row r="15" spans="1:16" x14ac:dyDescent="0.25">
      <c r="A15" s="22"/>
      <c r="B15" s="89" t="s">
        <v>144</v>
      </c>
      <c r="C15" s="150"/>
      <c r="D15" s="150"/>
      <c r="E15" s="150"/>
      <c r="F15" s="150">
        <f>'BGS PTY15 Cost Alloc'!F269</f>
        <v>141011.72715247632</v>
      </c>
      <c r="G15" s="150"/>
      <c r="H15" s="145"/>
      <c r="I15" s="150"/>
      <c r="J15" s="150"/>
      <c r="K15" s="150"/>
      <c r="L15" s="150"/>
      <c r="M15" s="30"/>
      <c r="N15" s="30"/>
    </row>
    <row r="16" spans="1:16" x14ac:dyDescent="0.25">
      <c r="A16" s="22"/>
      <c r="C16" s="150"/>
      <c r="D16" s="150"/>
      <c r="E16" s="150"/>
      <c r="F16" s="150"/>
      <c r="G16" s="150"/>
      <c r="H16" s="145"/>
      <c r="I16" s="150"/>
      <c r="J16" s="150"/>
      <c r="K16" s="150"/>
      <c r="L16" s="150"/>
      <c r="M16" s="30"/>
      <c r="N16" s="30"/>
    </row>
    <row r="17" spans="1:16" x14ac:dyDescent="0.25">
      <c r="A17" s="22"/>
      <c r="B17" s="28" t="s">
        <v>18</v>
      </c>
      <c r="C17" s="150"/>
      <c r="D17" s="150"/>
      <c r="E17" s="150">
        <f>'BGS PTY15 Cost Alloc'!E271</f>
        <v>333.1413940304148</v>
      </c>
      <c r="F17" s="150">
        <f>'BGS PTY15 Cost Alloc'!F271</f>
        <v>409536.43798815756</v>
      </c>
      <c r="G17" s="150">
        <f>'BGS PTY15 Cost Alloc'!G271</f>
        <v>283763.42043137475</v>
      </c>
      <c r="I17" s="150">
        <f>'BGS PTY15 Cost Alloc'!I271</f>
        <v>4037.8210319498066</v>
      </c>
      <c r="J17" s="150"/>
      <c r="K17" s="150"/>
      <c r="L17" s="150"/>
      <c r="M17" s="30"/>
      <c r="N17" s="30"/>
    </row>
    <row r="18" spans="1:16" x14ac:dyDescent="0.25">
      <c r="A18" s="22"/>
      <c r="B18" s="77" t="s">
        <v>72</v>
      </c>
      <c r="C18" s="150"/>
      <c r="D18" s="150"/>
      <c r="E18" s="150">
        <f>'BGS PTY15 Cost Alloc'!E272</f>
        <v>6980.9735474018999</v>
      </c>
      <c r="F18" s="3"/>
      <c r="G18" s="3"/>
      <c r="H18" s="150">
        <f>'BGS PTY15 Cost Alloc'!H272</f>
        <v>4007.2831583456473</v>
      </c>
      <c r="I18" s="3"/>
      <c r="J18" s="150"/>
      <c r="K18" s="150"/>
      <c r="L18" s="150"/>
      <c r="M18" s="30"/>
      <c r="N18" s="30"/>
    </row>
    <row r="19" spans="1:16" x14ac:dyDescent="0.25">
      <c r="A19" s="22"/>
      <c r="B19" s="77" t="s">
        <v>73</v>
      </c>
      <c r="C19" s="3"/>
      <c r="D19" s="3"/>
      <c r="E19" s="150">
        <f>'BGS PTY15 Cost Alloc'!E273</f>
        <v>5240.6086308045342</v>
      </c>
      <c r="H19" s="150">
        <f>'BGS PTY15 Cost Alloc'!H273</f>
        <v>2462.333800889754</v>
      </c>
      <c r="J19" s="150"/>
      <c r="K19" s="150"/>
      <c r="L19" s="150"/>
      <c r="M19" s="30"/>
      <c r="N19" s="30"/>
    </row>
    <row r="20" spans="1:16" x14ac:dyDescent="0.25">
      <c r="A20" s="22"/>
      <c r="B20" s="5"/>
      <c r="C20"/>
      <c r="D20"/>
      <c r="E20"/>
      <c r="F20"/>
      <c r="G20"/>
      <c r="H20"/>
      <c r="I20"/>
      <c r="J20"/>
      <c r="K20"/>
      <c r="L20"/>
      <c r="M20" s="30"/>
      <c r="N20" s="30"/>
    </row>
    <row r="21" spans="1:16" x14ac:dyDescent="0.25">
      <c r="A21" s="22"/>
      <c r="B21" t="s">
        <v>135</v>
      </c>
      <c r="C21"/>
      <c r="D21"/>
      <c r="E21"/>
      <c r="F21"/>
      <c r="G21"/>
      <c r="H21"/>
      <c r="I21"/>
      <c r="J21"/>
      <c r="K21"/>
      <c r="L21"/>
      <c r="M21" s="30"/>
      <c r="N21" s="30"/>
    </row>
    <row r="22" spans="1:16" x14ac:dyDescent="0.25">
      <c r="A22" s="22"/>
      <c r="B22" s="5" t="s">
        <v>25</v>
      </c>
      <c r="D22"/>
      <c r="E22" s="3">
        <f>SUM(E11:E15)</f>
        <v>6337.4764063703296</v>
      </c>
      <c r="F22" s="3">
        <f>SUM(F11:F15)</f>
        <v>282562.05716619478</v>
      </c>
      <c r="G22" s="3">
        <f>SUM(G11:G15)</f>
        <v>169452.17808774527</v>
      </c>
      <c r="H22" s="3">
        <f>SUM(H11:H15)</f>
        <v>2806.1458807386471</v>
      </c>
      <c r="I22" s="3">
        <f>SUM(I11:I15)</f>
        <v>2074.7880002964353</v>
      </c>
      <c r="J22" s="152">
        <f>SUM(E22:I22)</f>
        <v>463232.64554134547</v>
      </c>
      <c r="K22" s="152"/>
      <c r="L22" s="152"/>
      <c r="M22" s="31"/>
      <c r="N22" s="31"/>
    </row>
    <row r="23" spans="1:16" x14ac:dyDescent="0.25">
      <c r="A23" s="22"/>
      <c r="B23" s="5" t="s">
        <v>26</v>
      </c>
      <c r="D23"/>
      <c r="E23" s="3">
        <f>SUM(E17:E19)</f>
        <v>12554.72357223685</v>
      </c>
      <c r="F23" s="3">
        <f>SUM(F17:F19)</f>
        <v>409536.43798815756</v>
      </c>
      <c r="G23" s="3">
        <f>SUM(G17:G19)</f>
        <v>283763.42043137475</v>
      </c>
      <c r="H23" s="3">
        <f>SUM(H17:H19)</f>
        <v>6469.6169592354017</v>
      </c>
      <c r="I23" s="3">
        <f>SUM(I17:I19)</f>
        <v>4037.8210319498066</v>
      </c>
      <c r="J23" s="152">
        <f>SUM(E23:I23)</f>
        <v>716362.01998295437</v>
      </c>
      <c r="K23" s="152"/>
      <c r="L23" s="152"/>
      <c r="M23" s="31"/>
      <c r="N23" s="31"/>
    </row>
    <row r="24" spans="1:16" x14ac:dyDescent="0.25">
      <c r="A24" s="18"/>
      <c r="B24" s="5" t="s">
        <v>13</v>
      </c>
      <c r="D24"/>
      <c r="E24" s="3">
        <f>SUM(E22:E23)</f>
        <v>18892.199978607179</v>
      </c>
      <c r="F24" s="3">
        <f>SUM(F22:F23)</f>
        <v>692098.49515435239</v>
      </c>
      <c r="G24" s="3">
        <f>SUM(G22:G23)</f>
        <v>453215.59851912002</v>
      </c>
      <c r="H24" s="3">
        <f>SUM(H22:H23)</f>
        <v>9275.7628399740497</v>
      </c>
      <c r="I24" s="3">
        <f>SUM(I22:I23)</f>
        <v>6112.6090322462424</v>
      </c>
      <c r="J24" s="3">
        <f>SUM(E24:I24)</f>
        <v>1179594.6655243</v>
      </c>
      <c r="K24" s="3"/>
      <c r="L24" s="3"/>
      <c r="M24" s="31"/>
      <c r="N24" s="31"/>
    </row>
    <row r="25" spans="1:16" x14ac:dyDescent="0.25">
      <c r="A25" s="22"/>
      <c r="B25" s="24"/>
      <c r="C25" s="26"/>
      <c r="D25" s="26"/>
      <c r="E25" s="26"/>
      <c r="F25" s="26"/>
      <c r="G25" s="26"/>
      <c r="H25" s="26"/>
      <c r="I25" s="26"/>
      <c r="J25" s="26"/>
      <c r="K25" s="26"/>
      <c r="L25" s="26"/>
      <c r="M25" s="26"/>
      <c r="N25" s="26"/>
    </row>
    <row r="26" spans="1:16" x14ac:dyDescent="0.25">
      <c r="A26" s="22"/>
      <c r="B26" s="24"/>
      <c r="C26" s="26"/>
      <c r="D26" s="26"/>
      <c r="E26" s="26"/>
      <c r="F26" s="26"/>
      <c r="G26" s="26"/>
      <c r="H26" s="26"/>
      <c r="I26" s="26"/>
      <c r="J26" s="26"/>
      <c r="K26" s="26"/>
      <c r="L26" s="26"/>
      <c r="M26" s="26"/>
      <c r="N26" s="26"/>
    </row>
    <row r="27" spans="1:16" x14ac:dyDescent="0.25">
      <c r="A27" s="22"/>
    </row>
    <row r="28" spans="1:16" x14ac:dyDescent="0.25">
      <c r="A28" s="18" t="s">
        <v>258</v>
      </c>
      <c r="B28" s="173" t="s">
        <v>388</v>
      </c>
      <c r="C28" s="20"/>
      <c r="E28" s="166" t="s">
        <v>307</v>
      </c>
      <c r="F28" s="314">
        <v>18</v>
      </c>
      <c r="G28" s="16" t="s">
        <v>256</v>
      </c>
      <c r="P28" s="295" t="s">
        <v>256</v>
      </c>
    </row>
    <row r="29" spans="1:16" x14ac:dyDescent="0.25">
      <c r="A29" s="22"/>
      <c r="B29" s="13" t="s">
        <v>239</v>
      </c>
      <c r="C29" s="23"/>
      <c r="D29" s="23"/>
    </row>
    <row r="30" spans="1:16" x14ac:dyDescent="0.25">
      <c r="A30" s="22"/>
    </row>
    <row r="31" spans="1:16" x14ac:dyDescent="0.25">
      <c r="A31" s="22"/>
      <c r="B31" t="s">
        <v>134</v>
      </c>
      <c r="C31"/>
      <c r="D31"/>
      <c r="E31" s="26" t="s">
        <v>61</v>
      </c>
      <c r="F31" s="26" t="s">
        <v>62</v>
      </c>
      <c r="G31" s="26" t="s">
        <v>65</v>
      </c>
      <c r="H31" s="26" t="s">
        <v>203</v>
      </c>
      <c r="I31" s="26" t="s">
        <v>55</v>
      </c>
      <c r="J31"/>
      <c r="K31"/>
      <c r="L31"/>
    </row>
    <row r="32" spans="1:16" x14ac:dyDescent="0.25">
      <c r="A32" s="22"/>
      <c r="B32" s="28" t="s">
        <v>17</v>
      </c>
      <c r="C32" s="150"/>
      <c r="D32" s="150"/>
      <c r="E32" s="150">
        <f>'BGS PTY14 Cost Alloc'!E266</f>
        <v>185.65443691465885</v>
      </c>
      <c r="F32" s="150"/>
      <c r="G32" s="150">
        <f>'BGS PTY14 Cost Alloc'!G266</f>
        <v>184068.46035010956</v>
      </c>
      <c r="H32" s="145"/>
      <c r="I32" s="150">
        <f>'BGS PTY14 Cost Alloc'!I266</f>
        <v>2264.037196848029</v>
      </c>
      <c r="J32" s="150"/>
      <c r="K32" s="150"/>
      <c r="L32" s="150"/>
    </row>
    <row r="33" spans="1:12" x14ac:dyDescent="0.25">
      <c r="A33" s="22"/>
      <c r="B33" s="77" t="s">
        <v>72</v>
      </c>
      <c r="C33" s="150"/>
      <c r="D33" s="150"/>
      <c r="E33" s="150">
        <f>'BGS PTY14 Cost Alloc'!E267</f>
        <v>4165.654609571855</v>
      </c>
      <c r="F33" s="150"/>
      <c r="G33" s="150"/>
      <c r="H33" s="150">
        <f>'BGS PTY14 Cost Alloc'!H267</f>
        <v>2034.179044972966</v>
      </c>
      <c r="I33" s="150"/>
      <c r="J33" s="150"/>
      <c r="K33" s="150"/>
      <c r="L33" s="150"/>
    </row>
    <row r="34" spans="1:12" x14ac:dyDescent="0.25">
      <c r="A34" s="22"/>
      <c r="B34" s="77" t="s">
        <v>73</v>
      </c>
      <c r="C34" s="150"/>
      <c r="D34" s="150"/>
      <c r="E34" s="150">
        <f>'BGS PTY14 Cost Alloc'!E268</f>
        <v>2447.9443357623823</v>
      </c>
      <c r="F34" s="150"/>
      <c r="G34" s="150"/>
      <c r="H34" s="150">
        <f>'BGS PTY14 Cost Alloc'!H268</f>
        <v>989.26813802898482</v>
      </c>
      <c r="I34" s="150"/>
      <c r="J34" s="150"/>
      <c r="K34" s="150"/>
      <c r="L34" s="150"/>
    </row>
    <row r="35" spans="1:12" x14ac:dyDescent="0.25">
      <c r="A35" s="22"/>
      <c r="B35" s="89" t="s">
        <v>142</v>
      </c>
      <c r="C35" s="150"/>
      <c r="D35" s="150"/>
      <c r="E35" s="150"/>
      <c r="F35" s="150">
        <f>'BGS PTY14 Cost Alloc'!F269</f>
        <v>153824.919298163</v>
      </c>
      <c r="G35" s="150"/>
      <c r="H35" s="145"/>
      <c r="I35" s="150"/>
      <c r="J35" s="150"/>
      <c r="K35" s="150"/>
      <c r="L35" s="150"/>
    </row>
    <row r="36" spans="1:12" x14ac:dyDescent="0.25">
      <c r="A36" s="22"/>
      <c r="B36" s="89" t="s">
        <v>144</v>
      </c>
      <c r="C36" s="150"/>
      <c r="D36" s="150"/>
      <c r="E36" s="150"/>
      <c r="F36" s="150">
        <f>'BGS PTY14 Cost Alloc'!F270</f>
        <v>151944.755424926</v>
      </c>
      <c r="G36" s="150"/>
      <c r="H36" s="145"/>
      <c r="I36" s="150"/>
      <c r="J36" s="150"/>
      <c r="K36" s="150"/>
      <c r="L36" s="150"/>
    </row>
    <row r="37" spans="1:12" x14ac:dyDescent="0.25">
      <c r="A37" s="22"/>
      <c r="C37" s="150"/>
      <c r="D37" s="150"/>
      <c r="E37" s="150"/>
      <c r="F37" s="150"/>
      <c r="G37" s="150"/>
      <c r="H37" s="145"/>
      <c r="I37" s="150"/>
      <c r="J37" s="150"/>
      <c r="K37" s="150"/>
      <c r="L37" s="150"/>
    </row>
    <row r="38" spans="1:12" x14ac:dyDescent="0.25">
      <c r="A38" s="22"/>
      <c r="B38" s="28" t="s">
        <v>18</v>
      </c>
      <c r="C38" s="150"/>
      <c r="D38" s="150"/>
      <c r="E38" s="150">
        <f>'BGS PTY14 Cost Alloc'!E272</f>
        <v>359.68831553358962</v>
      </c>
      <c r="F38" s="150">
        <f>'BGS PTY14 Cost Alloc'!F272</f>
        <v>441641.01778536162</v>
      </c>
      <c r="G38" s="150">
        <f>'BGS PTY14 Cost Alloc'!G272</f>
        <v>309452.08855510503</v>
      </c>
      <c r="I38" s="150">
        <f>'BGS PTY14 Cost Alloc'!I272</f>
        <v>4497.3465426363855</v>
      </c>
      <c r="J38" s="150"/>
      <c r="K38" s="150"/>
      <c r="L38" s="150"/>
    </row>
    <row r="39" spans="1:12" x14ac:dyDescent="0.25">
      <c r="A39" s="22"/>
      <c r="B39" s="77" t="s">
        <v>72</v>
      </c>
      <c r="C39" s="150"/>
      <c r="D39" s="150"/>
      <c r="E39" s="150">
        <f>'BGS PTY14 Cost Alloc'!E273</f>
        <v>7434.6297859660217</v>
      </c>
      <c r="F39" s="3"/>
      <c r="G39" s="3"/>
      <c r="H39" s="150">
        <f>'BGS PTY14 Cost Alloc'!H273</f>
        <v>4331.019620585439</v>
      </c>
      <c r="I39" s="3"/>
      <c r="J39" s="150"/>
      <c r="K39" s="150"/>
      <c r="L39" s="150"/>
    </row>
    <row r="40" spans="1:12" x14ac:dyDescent="0.25">
      <c r="A40" s="22"/>
      <c r="B40" s="77" t="s">
        <v>73</v>
      </c>
      <c r="C40" s="3"/>
      <c r="D40" s="3"/>
      <c r="E40" s="150">
        <f>'BGS PTY14 Cost Alloc'!E274</f>
        <v>5760.8435907917155</v>
      </c>
      <c r="H40" s="150">
        <f>'BGS PTY14 Cost Alloc'!H274</f>
        <v>2720.688015252912</v>
      </c>
      <c r="J40" s="150"/>
      <c r="K40" s="150"/>
      <c r="L40" s="150"/>
    </row>
    <row r="41" spans="1:12" x14ac:dyDescent="0.25">
      <c r="A41" s="22"/>
      <c r="B41" s="5"/>
      <c r="C41"/>
      <c r="D41"/>
      <c r="E41"/>
      <c r="F41"/>
      <c r="G41"/>
      <c r="H41"/>
      <c r="I41"/>
      <c r="J41"/>
      <c r="K41"/>
      <c r="L41"/>
    </row>
    <row r="42" spans="1:12" x14ac:dyDescent="0.25">
      <c r="A42" s="22"/>
      <c r="B42" t="s">
        <v>135</v>
      </c>
      <c r="C42"/>
      <c r="D42"/>
      <c r="E42"/>
      <c r="F42"/>
      <c r="G42"/>
      <c r="H42"/>
      <c r="I42"/>
      <c r="J42"/>
      <c r="K42"/>
      <c r="L42"/>
    </row>
    <row r="43" spans="1:12" x14ac:dyDescent="0.25">
      <c r="A43" s="22"/>
      <c r="B43" s="5" t="s">
        <v>25</v>
      </c>
      <c r="D43"/>
      <c r="E43" s="3">
        <f>SUM(E32:E36)</f>
        <v>6799.2533822488958</v>
      </c>
      <c r="F43" s="3">
        <f>SUM(F32:F36)</f>
        <v>305769.67472308897</v>
      </c>
      <c r="G43" s="3">
        <f>SUM(G32:G36)</f>
        <v>184068.46035010956</v>
      </c>
      <c r="H43" s="3">
        <f>SUM(H32:H36)</f>
        <v>3023.4471830019511</v>
      </c>
      <c r="I43" s="3">
        <f>SUM(I32:I36)</f>
        <v>2264.037196848029</v>
      </c>
      <c r="J43" s="152">
        <f>SUM(E43:I43)</f>
        <v>501924.87283529743</v>
      </c>
      <c r="K43" s="152"/>
      <c r="L43" s="152"/>
    </row>
    <row r="44" spans="1:12" x14ac:dyDescent="0.25">
      <c r="A44" s="22"/>
      <c r="B44" s="5" t="s">
        <v>26</v>
      </c>
      <c r="D44"/>
      <c r="E44" s="3">
        <f>SUM(E38:E40)</f>
        <v>13555.161692291327</v>
      </c>
      <c r="F44" s="3">
        <f>SUM(F38:F40)</f>
        <v>441641.01778536162</v>
      </c>
      <c r="G44" s="3">
        <f>SUM(G38:G40)</f>
        <v>309452.08855510503</v>
      </c>
      <c r="H44" s="3">
        <f>SUM(H38:H40)</f>
        <v>7051.7076358383511</v>
      </c>
      <c r="I44" s="3">
        <f>SUM(I38:I40)</f>
        <v>4497.3465426363855</v>
      </c>
      <c r="J44" s="152">
        <f>SUM(E44:I44)</f>
        <v>776197.32221123273</v>
      </c>
      <c r="K44" s="152"/>
      <c r="L44" s="152"/>
    </row>
    <row r="45" spans="1:12" x14ac:dyDescent="0.25">
      <c r="A45" s="18"/>
      <c r="B45" s="5" t="s">
        <v>13</v>
      </c>
      <c r="D45"/>
      <c r="E45" s="3">
        <f>SUM(E43:E44)</f>
        <v>20354.415074540222</v>
      </c>
      <c r="F45" s="3">
        <f>SUM(F43:F44)</f>
        <v>747410.69250845059</v>
      </c>
      <c r="G45" s="3">
        <f>SUM(G43:G44)</f>
        <v>493520.54890521459</v>
      </c>
      <c r="H45" s="3">
        <f>SUM(H43:H44)</f>
        <v>10075.154818840303</v>
      </c>
      <c r="I45" s="3">
        <f>SUM(I43:I44)</f>
        <v>6761.383739484414</v>
      </c>
      <c r="J45" s="3">
        <f>SUM(E45:I45)</f>
        <v>1278122.1950465301</v>
      </c>
      <c r="K45" s="3"/>
      <c r="L45" s="3"/>
    </row>
    <row r="46" spans="1:12" x14ac:dyDescent="0.25">
      <c r="A46" s="18"/>
      <c r="B46" s="5"/>
      <c r="D46"/>
      <c r="E46" s="3"/>
      <c r="F46" s="3"/>
      <c r="G46" s="3"/>
      <c r="H46" s="3"/>
      <c r="I46" s="3"/>
      <c r="J46" s="3"/>
      <c r="K46" s="3"/>
      <c r="L46" s="3"/>
    </row>
    <row r="47" spans="1:12" x14ac:dyDescent="0.25">
      <c r="A47" s="13"/>
      <c r="B47" s="36" t="str">
        <f>'BGS PTY16 Cost Alloc'!B46</f>
        <v>{1} For BGS purposes the RT rate class includes the RS and GS rate class Off-Peak (OPWH) and Controlled Water Heating (CTWH) provisions.  The RT rate class also includes the</v>
      </c>
      <c r="D47"/>
      <c r="E47" s="3"/>
      <c r="F47" s="3"/>
      <c r="G47" s="3"/>
      <c r="H47" s="3"/>
      <c r="I47" s="3"/>
      <c r="J47" s="3"/>
      <c r="K47" s="3"/>
      <c r="L47" s="3"/>
    </row>
    <row r="48" spans="1:12" x14ac:dyDescent="0.25">
      <c r="A48" s="13"/>
      <c r="B48" s="36" t="str">
        <f>'BGS PTY16 Cost Alloc'!B47</f>
        <v xml:space="preserve">  summer billing month RGT rate class usage.  OPWH and CTWH is billed on the average RT rates, while RT and Summer RGT use is billed at on-peak and off-peak rates.</v>
      </c>
      <c r="D48"/>
      <c r="E48" s="3"/>
      <c r="F48" s="3"/>
      <c r="G48" s="3"/>
      <c r="H48" s="3"/>
      <c r="I48" s="3"/>
      <c r="J48" s="3"/>
      <c r="K48" s="3"/>
      <c r="L48" s="3"/>
    </row>
    <row r="49" spans="1:16" x14ac:dyDescent="0.25">
      <c r="A49" s="13"/>
      <c r="B49" s="36" t="str">
        <f>'BGS PTY16 Cost Alloc'!B48</f>
        <v xml:space="preserve">{2} For BGS purposes the RS rate class excludes the Off-Peak and Controlled Water Heating provisions and includes  </v>
      </c>
      <c r="D49"/>
      <c r="E49" s="3"/>
      <c r="F49" s="3"/>
      <c r="G49" s="3"/>
      <c r="H49" s="3"/>
      <c r="I49" s="3"/>
      <c r="J49" s="3"/>
      <c r="K49" s="3"/>
      <c r="L49" s="3"/>
    </row>
    <row r="50" spans="1:16" x14ac:dyDescent="0.25">
      <c r="A50" s="13"/>
      <c r="B50" s="36" t="str">
        <f>'BGS PTY16 Cost Alloc'!B49</f>
        <v xml:space="preserve">     the winter billing month RGT rate class usage</v>
      </c>
      <c r="D50"/>
      <c r="E50" s="3"/>
      <c r="F50" s="3"/>
      <c r="G50" s="3"/>
      <c r="H50" s="3"/>
      <c r="I50" s="3"/>
      <c r="J50" s="3"/>
      <c r="K50" s="3"/>
      <c r="L50" s="3"/>
    </row>
    <row r="51" spans="1:16" x14ac:dyDescent="0.25">
      <c r="A51" s="13"/>
      <c r="B51" s="36" t="str">
        <f>'BGS PTY16 Cost Alloc'!B50</f>
        <v>{3} For BGS purposes the GS rate class excludes the Off-Peak and Controlled Water Heating provisions</v>
      </c>
      <c r="D51"/>
      <c r="E51" s="3"/>
      <c r="F51" s="3"/>
      <c r="G51" s="3"/>
      <c r="H51" s="3"/>
      <c r="I51" s="3"/>
      <c r="J51" s="3"/>
      <c r="K51" s="3"/>
      <c r="L51" s="3"/>
    </row>
    <row r="52" spans="1:16" x14ac:dyDescent="0.25">
      <c r="A52" s="36"/>
      <c r="B52" s="165" t="str">
        <f>'BGS PTY16 Cost Alloc'!B101</f>
        <v>{4} The GS and GST units exclude the units associated with the 500 kW and above PLS accounts that will be required to take service under BGS-CIEP</v>
      </c>
      <c r="D52"/>
      <c r="E52" s="3"/>
      <c r="F52" s="3"/>
      <c r="G52" s="3"/>
      <c r="H52" s="3"/>
      <c r="I52" s="3"/>
      <c r="J52" s="3"/>
      <c r="K52" s="3"/>
      <c r="L52" s="3"/>
    </row>
    <row r="53" spans="1:16" x14ac:dyDescent="0.25">
      <c r="A53" s="13"/>
      <c r="B53" s="165" t="str">
        <f>'BGS PTY16 Cost Alloc'!B102</f>
        <v xml:space="preserve"> </v>
      </c>
    </row>
    <row r="54" spans="1:16" ht="15.6" x14ac:dyDescent="0.3">
      <c r="B54" s="534" t="s">
        <v>69</v>
      </c>
      <c r="C54" s="534"/>
      <c r="D54" s="534"/>
      <c r="E54" s="534"/>
      <c r="F54" s="534"/>
      <c r="G54" s="534"/>
      <c r="H54" s="534"/>
      <c r="I54" s="534"/>
      <c r="J54" s="534"/>
      <c r="K54" s="534"/>
      <c r="L54" s="534"/>
      <c r="M54" s="534"/>
      <c r="N54" s="534"/>
    </row>
    <row r="55" spans="1:16" ht="15.6" x14ac:dyDescent="0.3">
      <c r="B55" s="534" t="s">
        <v>187</v>
      </c>
      <c r="C55" s="534"/>
      <c r="D55" s="534"/>
      <c r="E55" s="534"/>
      <c r="F55" s="534"/>
      <c r="G55" s="534"/>
      <c r="H55" s="534"/>
      <c r="I55" s="534"/>
      <c r="J55" s="534"/>
      <c r="K55" s="534"/>
      <c r="L55" s="534"/>
      <c r="M55" s="534"/>
      <c r="N55" s="534"/>
    </row>
    <row r="56" spans="1:16" ht="15.6" x14ac:dyDescent="0.3">
      <c r="B56" s="534" t="s">
        <v>238</v>
      </c>
      <c r="C56" s="534"/>
      <c r="D56" s="534"/>
      <c r="E56" s="534"/>
      <c r="F56" s="534"/>
      <c r="G56" s="534"/>
      <c r="H56" s="534"/>
      <c r="I56" s="534"/>
      <c r="J56" s="534"/>
      <c r="K56" s="534"/>
      <c r="L56" s="534"/>
      <c r="M56" s="534"/>
      <c r="N56" s="534"/>
    </row>
    <row r="57" spans="1:16" x14ac:dyDescent="0.25">
      <c r="N57" s="121" t="s">
        <v>256</v>
      </c>
    </row>
    <row r="59" spans="1:16" x14ac:dyDescent="0.25">
      <c r="E59" s="17"/>
    </row>
    <row r="60" spans="1:16" x14ac:dyDescent="0.25">
      <c r="A60" s="18" t="s">
        <v>259</v>
      </c>
      <c r="B60" s="173" t="s">
        <v>429</v>
      </c>
      <c r="C60" s="20"/>
      <c r="E60" s="166" t="s">
        <v>307</v>
      </c>
      <c r="F60" s="314">
        <v>15</v>
      </c>
      <c r="G60" s="13" t="s">
        <v>256</v>
      </c>
      <c r="P60" s="295" t="s">
        <v>256</v>
      </c>
    </row>
    <row r="61" spans="1:16" x14ac:dyDescent="0.25">
      <c r="A61" s="22"/>
      <c r="B61" s="13" t="s">
        <v>239</v>
      </c>
      <c r="C61" s="23"/>
      <c r="D61" s="23"/>
    </row>
    <row r="62" spans="1:16" x14ac:dyDescent="0.25">
      <c r="A62" s="22"/>
    </row>
    <row r="63" spans="1:16" x14ac:dyDescent="0.25">
      <c r="A63" s="22"/>
      <c r="B63" t="s">
        <v>134</v>
      </c>
      <c r="C63"/>
      <c r="D63"/>
      <c r="E63" s="26" t="s">
        <v>61</v>
      </c>
      <c r="F63" s="26" t="s">
        <v>62</v>
      </c>
      <c r="G63" s="26" t="s">
        <v>65</v>
      </c>
      <c r="H63" s="26" t="s">
        <v>203</v>
      </c>
      <c r="I63" s="26" t="s">
        <v>55</v>
      </c>
      <c r="J63"/>
      <c r="K63"/>
      <c r="L63"/>
    </row>
    <row r="64" spans="1:16" x14ac:dyDescent="0.25">
      <c r="A64" s="22"/>
      <c r="B64" s="28" t="s">
        <v>17</v>
      </c>
      <c r="C64" s="150"/>
      <c r="D64" s="150"/>
      <c r="E64" s="150" t="e">
        <f>'BGS PTY15 4yr Cong'!E268</f>
        <v>#REF!</v>
      </c>
      <c r="F64" s="150"/>
      <c r="G64" s="150" t="e">
        <f>'BGS PTY15 4yr Cong'!G268</f>
        <v>#REF!</v>
      </c>
      <c r="H64" s="145"/>
      <c r="I64" s="150" t="e">
        <f>'BGS PTY15 4yr Cong'!I268</f>
        <v>#REF!</v>
      </c>
      <c r="J64" s="150"/>
      <c r="K64" s="150"/>
      <c r="L64" s="150"/>
    </row>
    <row r="65" spans="1:12" x14ac:dyDescent="0.25">
      <c r="A65" s="22"/>
      <c r="B65" s="77" t="s">
        <v>72</v>
      </c>
      <c r="C65" s="150"/>
      <c r="D65" s="150"/>
      <c r="E65" s="150" t="e">
        <f>'BGS PTY15 4yr Cong'!E269</f>
        <v>#REF!</v>
      </c>
      <c r="F65" s="150"/>
      <c r="G65" s="150"/>
      <c r="H65" s="150" t="e">
        <f>'BGS PTY15 4yr Cong'!H269</f>
        <v>#REF!</v>
      </c>
      <c r="I65" s="150"/>
      <c r="J65" s="150"/>
      <c r="K65" s="150"/>
      <c r="L65" s="150"/>
    </row>
    <row r="66" spans="1:12" x14ac:dyDescent="0.25">
      <c r="A66" s="22"/>
      <c r="B66" s="77" t="s">
        <v>73</v>
      </c>
      <c r="C66" s="150"/>
      <c r="D66" s="150"/>
      <c r="E66" s="150" t="e">
        <f>'BGS PTY15 4yr Cong'!E270</f>
        <v>#REF!</v>
      </c>
      <c r="F66" s="150"/>
      <c r="G66" s="150"/>
      <c r="H66" s="150" t="e">
        <f>'BGS PTY15 4yr Cong'!H270</f>
        <v>#REF!</v>
      </c>
      <c r="I66" s="150"/>
      <c r="J66" s="150"/>
      <c r="K66" s="150"/>
      <c r="L66" s="150"/>
    </row>
    <row r="67" spans="1:12" x14ac:dyDescent="0.25">
      <c r="A67" s="22"/>
      <c r="B67" s="89" t="s">
        <v>142</v>
      </c>
      <c r="C67" s="150"/>
      <c r="D67" s="150"/>
      <c r="E67" s="150"/>
      <c r="F67" s="150" t="e">
        <f>'BGS PTY15 4yr Cong'!F271</f>
        <v>#REF!</v>
      </c>
      <c r="G67" s="150"/>
      <c r="H67" s="145"/>
      <c r="I67" s="150"/>
      <c r="J67" s="150"/>
      <c r="K67" s="150"/>
      <c r="L67" s="150"/>
    </row>
    <row r="68" spans="1:12" x14ac:dyDescent="0.25">
      <c r="A68" s="22"/>
      <c r="B68" s="89" t="s">
        <v>144</v>
      </c>
      <c r="C68" s="150"/>
      <c r="D68" s="150"/>
      <c r="E68" s="150"/>
      <c r="F68" s="150" t="e">
        <f>'BGS PTY15 4yr Cong'!F272</f>
        <v>#REF!</v>
      </c>
      <c r="G68" s="150"/>
      <c r="H68" s="145"/>
      <c r="I68" s="150"/>
      <c r="J68" s="150"/>
      <c r="K68" s="150"/>
      <c r="L68" s="150"/>
    </row>
    <row r="69" spans="1:12" x14ac:dyDescent="0.25">
      <c r="A69" s="22"/>
      <c r="C69" s="150"/>
      <c r="D69" s="150"/>
      <c r="E69" s="150"/>
      <c r="F69" s="150"/>
      <c r="G69" s="150"/>
      <c r="H69" s="145"/>
      <c r="I69" s="150"/>
      <c r="J69" s="150"/>
      <c r="K69" s="150"/>
      <c r="L69" s="150"/>
    </row>
    <row r="70" spans="1:12" x14ac:dyDescent="0.25">
      <c r="A70" s="22"/>
      <c r="B70" s="28" t="s">
        <v>18</v>
      </c>
      <c r="C70" s="150"/>
      <c r="D70" s="150"/>
      <c r="E70" s="150" t="e">
        <f>'BGS PTY15 4yr Cong'!E274</f>
        <v>#REF!</v>
      </c>
      <c r="F70" s="150" t="e">
        <f>'BGS PTY15 4yr Cong'!F274</f>
        <v>#REF!</v>
      </c>
      <c r="G70" s="150" t="e">
        <f>'BGS PTY15 4yr Cong'!G274</f>
        <v>#REF!</v>
      </c>
      <c r="I70" s="150" t="e">
        <f>'BGS PTY15 4yr Cong'!I274</f>
        <v>#REF!</v>
      </c>
      <c r="J70" s="150"/>
      <c r="K70" s="150"/>
      <c r="L70" s="150"/>
    </row>
    <row r="71" spans="1:12" x14ac:dyDescent="0.25">
      <c r="A71" s="22"/>
      <c r="B71" s="77" t="s">
        <v>72</v>
      </c>
      <c r="C71" s="150"/>
      <c r="D71" s="150"/>
      <c r="E71" s="150" t="e">
        <f>'BGS PTY15 4yr Cong'!E275</f>
        <v>#REF!</v>
      </c>
      <c r="F71" s="3"/>
      <c r="G71" s="3"/>
      <c r="H71" s="150" t="e">
        <f>'BGS PTY15 4yr Cong'!H275</f>
        <v>#REF!</v>
      </c>
      <c r="I71" s="3"/>
      <c r="J71" s="150"/>
      <c r="K71" s="150"/>
      <c r="L71" s="150"/>
    </row>
    <row r="72" spans="1:12" x14ac:dyDescent="0.25">
      <c r="A72" s="22"/>
      <c r="B72" s="77" t="s">
        <v>73</v>
      </c>
      <c r="C72" s="3"/>
      <c r="D72" s="3"/>
      <c r="E72" s="150" t="e">
        <f>'BGS PTY15 4yr Cong'!E276</f>
        <v>#REF!</v>
      </c>
      <c r="H72" s="150" t="e">
        <f>'BGS PTY15 4yr Cong'!H276</f>
        <v>#REF!</v>
      </c>
      <c r="J72" s="150"/>
      <c r="K72" s="150"/>
      <c r="L72" s="150"/>
    </row>
    <row r="73" spans="1:12" x14ac:dyDescent="0.25">
      <c r="A73" s="22"/>
      <c r="B73" s="5"/>
      <c r="C73"/>
      <c r="D73"/>
      <c r="E73"/>
      <c r="F73"/>
      <c r="G73"/>
      <c r="H73"/>
      <c r="I73"/>
      <c r="J73"/>
      <c r="K73"/>
      <c r="L73"/>
    </row>
    <row r="74" spans="1:12" x14ac:dyDescent="0.25">
      <c r="A74" s="22"/>
      <c r="B74" t="s">
        <v>135</v>
      </c>
      <c r="C74"/>
      <c r="D74"/>
      <c r="E74"/>
      <c r="F74"/>
      <c r="G74"/>
      <c r="H74"/>
      <c r="I74"/>
      <c r="J74"/>
      <c r="K74"/>
      <c r="L74"/>
    </row>
    <row r="75" spans="1:12" x14ac:dyDescent="0.25">
      <c r="A75" s="22"/>
      <c r="B75" s="5" t="s">
        <v>25</v>
      </c>
      <c r="D75"/>
      <c r="E75" s="3" t="e">
        <f>SUM(E64:E68)</f>
        <v>#REF!</v>
      </c>
      <c r="F75" s="3" t="e">
        <f>SUM(F64:F68)</f>
        <v>#REF!</v>
      </c>
      <c r="G75" s="3" t="e">
        <f>SUM(G64:G68)</f>
        <v>#REF!</v>
      </c>
      <c r="H75" s="3" t="e">
        <f>SUM(H64:H68)</f>
        <v>#REF!</v>
      </c>
      <c r="I75" s="3" t="e">
        <f>SUM(I64:I68)</f>
        <v>#REF!</v>
      </c>
      <c r="J75" s="152" t="e">
        <f>SUM(E75:I75)</f>
        <v>#REF!</v>
      </c>
      <c r="K75" s="152"/>
      <c r="L75" s="152"/>
    </row>
    <row r="76" spans="1:12" x14ac:dyDescent="0.25">
      <c r="A76" s="22"/>
      <c r="B76" s="5" t="s">
        <v>26</v>
      </c>
      <c r="D76"/>
      <c r="E76" s="3" t="e">
        <f>SUM(E70:E72)</f>
        <v>#REF!</v>
      </c>
      <c r="F76" s="3" t="e">
        <f>SUM(F70:F72)</f>
        <v>#REF!</v>
      </c>
      <c r="G76" s="3" t="e">
        <f>SUM(G70:G72)</f>
        <v>#REF!</v>
      </c>
      <c r="H76" s="3" t="e">
        <f>SUM(H70:H72)</f>
        <v>#REF!</v>
      </c>
      <c r="I76" s="3" t="e">
        <f>SUM(I70:I72)</f>
        <v>#REF!</v>
      </c>
      <c r="J76" s="152" t="e">
        <f>SUM(E76:I76)</f>
        <v>#REF!</v>
      </c>
      <c r="K76" s="152"/>
      <c r="L76" s="152"/>
    </row>
    <row r="77" spans="1:12" x14ac:dyDescent="0.25">
      <c r="A77" s="18"/>
      <c r="B77" s="5" t="s">
        <v>13</v>
      </c>
      <c r="D77"/>
      <c r="E77" s="3" t="e">
        <f>SUM(E75:E76)</f>
        <v>#REF!</v>
      </c>
      <c r="F77" s="3" t="e">
        <f>SUM(F75:F76)</f>
        <v>#REF!</v>
      </c>
      <c r="G77" s="3" t="e">
        <f>SUM(G75:G76)</f>
        <v>#REF!</v>
      </c>
      <c r="H77" s="3" t="e">
        <f>SUM(H75:H76)</f>
        <v>#REF!</v>
      </c>
      <c r="I77" s="3" t="e">
        <f>SUM(I75:I76)</f>
        <v>#REF!</v>
      </c>
      <c r="J77" s="3" t="e">
        <f>SUM(E77:I77)</f>
        <v>#REF!</v>
      </c>
      <c r="K77" s="3"/>
      <c r="L77" s="3"/>
    </row>
    <row r="81" spans="1:31" x14ac:dyDescent="0.25">
      <c r="A81" s="18" t="s">
        <v>260</v>
      </c>
      <c r="B81" s="164" t="s">
        <v>240</v>
      </c>
      <c r="C81" s="20"/>
      <c r="E81" s="17"/>
    </row>
    <row r="82" spans="1:31" x14ac:dyDescent="0.25">
      <c r="A82" s="22"/>
      <c r="B82" s="13" t="s">
        <v>239</v>
      </c>
      <c r="C82" s="23"/>
      <c r="D82" s="23"/>
    </row>
    <row r="83" spans="1:31" x14ac:dyDescent="0.25">
      <c r="A83" s="22"/>
    </row>
    <row r="84" spans="1:31" x14ac:dyDescent="0.25">
      <c r="A84" s="22"/>
      <c r="B84" t="s">
        <v>134</v>
      </c>
      <c r="C84"/>
      <c r="D84"/>
      <c r="E84" s="26" t="s">
        <v>61</v>
      </c>
      <c r="F84" s="26" t="s">
        <v>62</v>
      </c>
      <c r="G84" s="26" t="s">
        <v>65</v>
      </c>
      <c r="H84" s="26" t="s">
        <v>203</v>
      </c>
      <c r="I84" s="26" t="s">
        <v>55</v>
      </c>
      <c r="J84"/>
      <c r="K84"/>
      <c r="L84"/>
    </row>
    <row r="85" spans="1:31" x14ac:dyDescent="0.25">
      <c r="A85" s="22"/>
      <c r="B85" s="28" t="s">
        <v>17</v>
      </c>
      <c r="C85" s="150"/>
      <c r="D85" s="150"/>
      <c r="E85" s="150" t="e">
        <f>(E11*$F$7+E32*$F$28+E64*$F$60)/($F$7+$F$28+$F$60)</f>
        <v>#REF!</v>
      </c>
      <c r="F85" s="150"/>
      <c r="G85" s="150" t="e">
        <f>(G11*$F$7+G32*$F$28+G64*$F$60)/($F$7+$F$28+$F$60)</f>
        <v>#REF!</v>
      </c>
      <c r="H85" s="145"/>
      <c r="I85" s="150" t="e">
        <f>(I11*$F$7+I32*$F$28+I64*$F$60)/($F$7+$F$28+$F$60)</f>
        <v>#REF!</v>
      </c>
      <c r="J85" s="150"/>
      <c r="K85" s="150"/>
      <c r="L85" s="150"/>
    </row>
    <row r="86" spans="1:31" x14ac:dyDescent="0.25">
      <c r="A86" s="22"/>
      <c r="B86" s="77" t="s">
        <v>72</v>
      </c>
      <c r="C86" s="150"/>
      <c r="D86" s="150"/>
      <c r="E86" s="150" t="e">
        <f>(E12*$F$7+E33*$F$28+E65*$F$60)/($F$7+$F$28+$F$60)</f>
        <v>#REF!</v>
      </c>
      <c r="F86" s="150"/>
      <c r="G86" s="150"/>
      <c r="H86" s="150" t="e">
        <f>(H12*$F$7+H33*$F$28+H65*$F$60)/($F$7+$F$28+$F$60)</f>
        <v>#REF!</v>
      </c>
      <c r="I86" s="150"/>
      <c r="J86" s="150"/>
      <c r="K86" s="150"/>
      <c r="L86" s="150"/>
    </row>
    <row r="87" spans="1:31" x14ac:dyDescent="0.25">
      <c r="A87" s="22"/>
      <c r="B87" s="77" t="s">
        <v>73</v>
      </c>
      <c r="C87" s="150"/>
      <c r="D87" s="150"/>
      <c r="E87" s="150" t="e">
        <f>(E13*$F$7+E34*$F$28+E66*$F$60)/($F$7+$F$28+$F$60)</f>
        <v>#REF!</v>
      </c>
      <c r="F87" s="150"/>
      <c r="G87" s="150"/>
      <c r="H87" s="150" t="e">
        <f>(H13*$F$7+H34*$F$28+H66*$F$60)/($F$7+$F$28+$F$60)</f>
        <v>#REF!</v>
      </c>
      <c r="I87" s="150"/>
      <c r="J87" s="150"/>
      <c r="K87" s="150"/>
      <c r="L87" s="150"/>
      <c r="O87" s="47"/>
      <c r="P87" s="47"/>
      <c r="Q87" s="44"/>
      <c r="R87" s="44"/>
      <c r="S87" s="44"/>
      <c r="T87" s="47"/>
      <c r="U87" s="47"/>
      <c r="V87" s="44"/>
      <c r="W87" s="44"/>
      <c r="X87" s="44"/>
      <c r="Y87" s="47"/>
      <c r="Z87" s="47"/>
      <c r="AA87" s="44"/>
      <c r="AB87" s="44"/>
      <c r="AC87" s="44"/>
      <c r="AD87" s="47"/>
      <c r="AE87" s="47"/>
    </row>
    <row r="88" spans="1:31" x14ac:dyDescent="0.25">
      <c r="A88" s="22"/>
      <c r="B88" s="89" t="s">
        <v>142</v>
      </c>
      <c r="C88" s="150"/>
      <c r="D88" s="150"/>
      <c r="E88" s="150"/>
      <c r="F88" s="150" t="e">
        <f>(F14*$F$7+F35*$F$28+F67*$F$60)/($F$7+$F$28+$F$60)</f>
        <v>#REF!</v>
      </c>
      <c r="G88" s="150"/>
      <c r="H88" s="145"/>
      <c r="I88" s="150"/>
      <c r="J88" s="150"/>
      <c r="K88" s="150"/>
      <c r="L88" s="150"/>
      <c r="O88" s="47"/>
      <c r="P88" s="47"/>
      <c r="Q88" s="47"/>
      <c r="R88" s="47"/>
      <c r="S88" s="47"/>
      <c r="T88" s="47"/>
      <c r="U88" s="47"/>
      <c r="V88" s="470"/>
      <c r="W88" s="470"/>
      <c r="X88" s="470"/>
      <c r="Y88" s="47"/>
      <c r="Z88" s="47"/>
      <c r="AA88" s="470"/>
      <c r="AB88" s="470"/>
      <c r="AC88" s="470"/>
      <c r="AD88" s="47"/>
      <c r="AE88" s="47"/>
    </row>
    <row r="89" spans="1:31" x14ac:dyDescent="0.25">
      <c r="A89" s="22"/>
      <c r="B89" s="89" t="s">
        <v>144</v>
      </c>
      <c r="C89" s="150"/>
      <c r="D89" s="150"/>
      <c r="E89" s="150"/>
      <c r="F89" s="150" t="e">
        <f>(F15*$F$7+F36*$F$28+F68*$F$60)/($F$7+$F$28+$F$60)</f>
        <v>#REF!</v>
      </c>
      <c r="G89" s="150"/>
      <c r="H89" s="145"/>
      <c r="I89" s="150"/>
      <c r="J89" s="150"/>
      <c r="K89" s="150"/>
      <c r="L89" s="150"/>
      <c r="O89" s="164"/>
      <c r="P89" s="47"/>
      <c r="Q89" s="47"/>
      <c r="R89" s="47"/>
      <c r="S89" s="47"/>
      <c r="T89" s="47"/>
      <c r="U89" s="47"/>
      <c r="V89" s="47"/>
      <c r="W89" s="47"/>
      <c r="X89" s="47"/>
      <c r="Y89" s="47"/>
      <c r="Z89" s="47"/>
      <c r="AA89" s="47"/>
      <c r="AB89" s="47"/>
      <c r="AC89" s="47"/>
      <c r="AD89" s="47"/>
      <c r="AE89" s="47"/>
    </row>
    <row r="90" spans="1:31" x14ac:dyDescent="0.25">
      <c r="A90" s="22"/>
      <c r="C90" s="150"/>
      <c r="D90" s="150"/>
      <c r="E90" s="150"/>
      <c r="F90" s="150"/>
      <c r="G90" s="150"/>
      <c r="H90" s="145"/>
      <c r="I90" s="150"/>
      <c r="J90" s="150"/>
      <c r="K90" s="150"/>
      <c r="L90" s="150"/>
      <c r="O90" s="491"/>
      <c r="P90" s="47"/>
      <c r="Q90" s="475"/>
      <c r="R90" s="475"/>
      <c r="S90" s="475"/>
      <c r="T90" s="475"/>
      <c r="U90" s="47"/>
      <c r="V90" s="47"/>
      <c r="W90" s="47"/>
      <c r="X90" s="47"/>
      <c r="Y90" s="47"/>
      <c r="Z90" s="47"/>
      <c r="AA90" s="47"/>
      <c r="AB90" s="47"/>
      <c r="AC90" s="47"/>
      <c r="AD90" s="47"/>
      <c r="AE90" s="47"/>
    </row>
    <row r="91" spans="1:31" x14ac:dyDescent="0.25">
      <c r="A91" s="22"/>
      <c r="B91" s="28" t="s">
        <v>18</v>
      </c>
      <c r="C91" s="150"/>
      <c r="D91" s="150"/>
      <c r="E91" s="150" t="e">
        <f>(E17*$F$7+E38*$F$28+E70*$F$60)/($F$7+$F$28+$F$60)</f>
        <v>#REF!</v>
      </c>
      <c r="F91" s="150" t="e">
        <f>(F17*$F$7+F38*$F$28+F70*$F$60)/($F$7+$F$28+$F$60)</f>
        <v>#REF!</v>
      </c>
      <c r="G91" s="150" t="e">
        <f>(G17*$F$7+G38*$F$28+G70*$F$60)/($F$7+$F$28+$F$60)</f>
        <v>#REF!</v>
      </c>
      <c r="I91" s="150" t="e">
        <f>(I17*$F$7+I38*$F$28+I70*$F$60)/($F$7+$F$28+$F$60)</f>
        <v>#REF!</v>
      </c>
      <c r="J91" s="150"/>
      <c r="K91" s="150"/>
      <c r="L91" s="150"/>
      <c r="O91" s="491"/>
      <c r="P91" s="47"/>
      <c r="Q91" s="475"/>
      <c r="R91" s="475"/>
      <c r="S91" s="475"/>
      <c r="T91" s="475"/>
      <c r="U91" s="47"/>
      <c r="V91" s="164"/>
      <c r="W91" s="47"/>
      <c r="X91" s="47"/>
      <c r="Y91" s="47"/>
      <c r="Z91" s="47"/>
      <c r="AA91" s="164"/>
      <c r="AB91" s="47"/>
      <c r="AC91" s="47"/>
      <c r="AD91" s="47"/>
      <c r="AE91" s="47"/>
    </row>
    <row r="92" spans="1:31" x14ac:dyDescent="0.25">
      <c r="A92" s="22"/>
      <c r="B92" s="77" t="s">
        <v>72</v>
      </c>
      <c r="C92" s="150"/>
      <c r="D92" s="150"/>
      <c r="E92" s="150" t="e">
        <f>(E18*$F$7+E39*$F$28+E71*$F$60)/($F$7+$F$28+$F$60)</f>
        <v>#REF!</v>
      </c>
      <c r="F92" s="3"/>
      <c r="G92" s="3"/>
      <c r="H92" s="150" t="e">
        <f>(H18*$F$7+H39*$F$28+H71*$F$60)/($F$7+$F$28+$F$60)</f>
        <v>#REF!</v>
      </c>
      <c r="I92" s="3"/>
      <c r="J92" s="150"/>
      <c r="K92" s="150"/>
      <c r="L92" s="150"/>
      <c r="Q92" s="26" t="s">
        <v>52</v>
      </c>
      <c r="R92" s="26" t="s">
        <v>0</v>
      </c>
      <c r="S92" s="26" t="s">
        <v>53</v>
      </c>
      <c r="U92" s="47"/>
      <c r="V92" s="44"/>
      <c r="W92" s="44"/>
      <c r="X92" s="44"/>
      <c r="Y92" s="47"/>
      <c r="Z92" s="47"/>
      <c r="AA92" s="44"/>
      <c r="AB92" s="44"/>
      <c r="AC92" s="44"/>
      <c r="AD92" s="47"/>
      <c r="AE92" s="47"/>
    </row>
    <row r="93" spans="1:31" x14ac:dyDescent="0.25">
      <c r="A93" s="22"/>
      <c r="B93" s="77" t="s">
        <v>73</v>
      </c>
      <c r="C93" s="3"/>
      <c r="D93" s="3"/>
      <c r="E93" s="150" t="e">
        <f>(E19*$F$7+E40*$F$28+E72*$F$60)/($F$7+$F$28+$F$60)</f>
        <v>#REF!</v>
      </c>
      <c r="H93" s="150" t="e">
        <f>(H19*$F$7+H40*$F$28+H72*$F$60)/($F$7+$F$28+$F$60)</f>
        <v>#REF!</v>
      </c>
      <c r="J93" s="150"/>
      <c r="K93" s="150"/>
      <c r="L93" s="150"/>
      <c r="P93" s="413" t="s">
        <v>449</v>
      </c>
      <c r="Q93" s="55">
        <f>E122</f>
        <v>236079000</v>
      </c>
      <c r="R93" s="55">
        <f>F122</f>
        <v>8821066000</v>
      </c>
      <c r="S93" s="55">
        <f>G122</f>
        <v>5984056000</v>
      </c>
      <c r="T93" s="13" t="s">
        <v>217</v>
      </c>
      <c r="U93" s="47"/>
      <c r="V93" s="471"/>
      <c r="W93" s="471"/>
      <c r="X93" s="471"/>
      <c r="Y93" s="472"/>
      <c r="Z93" s="47"/>
      <c r="AA93" s="473"/>
      <c r="AB93" s="473"/>
      <c r="AC93" s="473"/>
      <c r="AD93" s="472"/>
      <c r="AE93" s="47"/>
    </row>
    <row r="94" spans="1:31" x14ac:dyDescent="0.25">
      <c r="A94" s="22"/>
      <c r="B94" s="5"/>
      <c r="C94"/>
      <c r="D94"/>
      <c r="E94"/>
      <c r="F94"/>
      <c r="G94"/>
      <c r="H94"/>
      <c r="I94"/>
      <c r="J94"/>
      <c r="K94"/>
      <c r="L94"/>
      <c r="R94" s="47"/>
      <c r="S94" s="47"/>
      <c r="T94" s="53"/>
      <c r="U94" s="47"/>
      <c r="V94" s="47"/>
      <c r="W94" s="47"/>
      <c r="X94" s="474"/>
      <c r="Y94" s="474"/>
      <c r="Z94" s="47"/>
      <c r="AA94" s="47"/>
      <c r="AB94" s="47"/>
      <c r="AC94" s="47"/>
      <c r="AD94" s="474"/>
      <c r="AE94" s="47"/>
    </row>
    <row r="95" spans="1:31" x14ac:dyDescent="0.25">
      <c r="A95" s="22"/>
      <c r="B95" t="s">
        <v>135</v>
      </c>
      <c r="C95"/>
      <c r="D95"/>
      <c r="E95"/>
      <c r="F95"/>
      <c r="G95"/>
      <c r="H95"/>
      <c r="I95"/>
      <c r="J95"/>
      <c r="K95"/>
      <c r="L95"/>
      <c r="P95" s="441" t="s">
        <v>418</v>
      </c>
      <c r="R95" s="491"/>
      <c r="S95" s="47"/>
      <c r="T95" s="475"/>
      <c r="U95" s="47"/>
      <c r="V95" s="47"/>
      <c r="W95" s="47"/>
      <c r="X95" s="47"/>
      <c r="Y95" s="47"/>
      <c r="Z95" s="47"/>
      <c r="AA95" s="47"/>
      <c r="AB95" s="47"/>
      <c r="AC95" s="47"/>
      <c r="AD95" s="47"/>
      <c r="AE95" s="47"/>
    </row>
    <row r="96" spans="1:31" x14ac:dyDescent="0.25">
      <c r="A96" s="22"/>
      <c r="B96" s="5" t="s">
        <v>25</v>
      </c>
      <c r="D96"/>
      <c r="E96" s="3" t="e">
        <f>SUM(E85:E89)</f>
        <v>#REF!</v>
      </c>
      <c r="F96" s="3" t="e">
        <f>SUM(F85:F89)</f>
        <v>#REF!</v>
      </c>
      <c r="G96" s="3" t="e">
        <f>SUM(G85:G89)</f>
        <v>#REF!</v>
      </c>
      <c r="H96" s="3" t="e">
        <f>SUM(H85:H89)</f>
        <v>#REF!</v>
      </c>
      <c r="I96" s="3" t="e">
        <f>SUM(I85:I89)</f>
        <v>#REF!</v>
      </c>
      <c r="J96" s="152" t="e">
        <f>SUM(E96:I96)</f>
        <v>#REF!</v>
      </c>
      <c r="K96" s="152"/>
      <c r="L96" s="152"/>
      <c r="P96" s="441"/>
      <c r="R96" s="491"/>
      <c r="S96" s="47"/>
      <c r="T96" s="475"/>
      <c r="U96" s="446"/>
      <c r="V96" s="47"/>
      <c r="W96" s="47"/>
      <c r="X96" s="47"/>
      <c r="Y96" s="47"/>
      <c r="Z96" s="446"/>
      <c r="AA96" s="47"/>
      <c r="AB96" s="47"/>
      <c r="AC96" s="47"/>
      <c r="AD96" s="47"/>
      <c r="AE96" s="47"/>
    </row>
    <row r="97" spans="1:31" x14ac:dyDescent="0.25">
      <c r="A97" s="22"/>
      <c r="B97" s="5" t="s">
        <v>26</v>
      </c>
      <c r="D97"/>
      <c r="E97" s="3" t="e">
        <f>SUM(E91:E93)</f>
        <v>#REF!</v>
      </c>
      <c r="F97" s="3" t="e">
        <f>SUM(F91:F93)</f>
        <v>#REF!</v>
      </c>
      <c r="G97" s="3" t="e">
        <f>SUM(G91:G93)</f>
        <v>#REF!</v>
      </c>
      <c r="H97" s="3" t="e">
        <f>SUM(H91:H93)</f>
        <v>#REF!</v>
      </c>
      <c r="I97" s="3" t="e">
        <f>SUM(I91:I93)</f>
        <v>#REF!</v>
      </c>
      <c r="J97" s="152" t="e">
        <f>SUM(E97:I97)</f>
        <v>#REF!</v>
      </c>
      <c r="K97" s="152"/>
      <c r="L97" s="152"/>
      <c r="P97" s="406"/>
      <c r="Q97" s="292"/>
      <c r="R97" s="292"/>
      <c r="S97" s="292"/>
      <c r="U97" s="426"/>
      <c r="V97" s="475"/>
      <c r="W97" s="475"/>
      <c r="X97" s="475"/>
      <c r="Y97" s="47"/>
      <c r="Z97" s="426"/>
      <c r="AA97" s="475"/>
      <c r="AB97" s="475"/>
      <c r="AC97" s="475"/>
      <c r="AD97" s="47"/>
      <c r="AE97" s="47"/>
    </row>
    <row r="98" spans="1:31" x14ac:dyDescent="0.25">
      <c r="A98" s="18"/>
      <c r="B98" s="5" t="s">
        <v>13</v>
      </c>
      <c r="D98"/>
      <c r="E98" s="3" t="e">
        <f>SUM(E96:E97)</f>
        <v>#REF!</v>
      </c>
      <c r="F98" s="3" t="e">
        <f>SUM(F96:F97)</f>
        <v>#REF!</v>
      </c>
      <c r="G98" s="3" t="e">
        <f>SUM(G96:G97)</f>
        <v>#REF!</v>
      </c>
      <c r="H98" s="3" t="e">
        <f>SUM(H96:H97)</f>
        <v>#REF!</v>
      </c>
      <c r="I98" s="3" t="e">
        <f>SUM(I96:I97)</f>
        <v>#REF!</v>
      </c>
      <c r="J98" s="3" t="e">
        <f>SUM(E98:I98)</f>
        <v>#REF!</v>
      </c>
      <c r="K98" s="3"/>
      <c r="L98" s="3"/>
      <c r="P98" s="406"/>
      <c r="Q98" s="292"/>
      <c r="R98" s="292"/>
      <c r="S98" s="292"/>
      <c r="U98" s="426"/>
      <c r="V98" s="475"/>
      <c r="W98" s="475"/>
      <c r="X98" s="475"/>
      <c r="Y98" s="47"/>
      <c r="Z98" s="426"/>
      <c r="AA98" s="475"/>
      <c r="AB98" s="475"/>
      <c r="AC98" s="475"/>
      <c r="AD98" s="47"/>
      <c r="AE98" s="47"/>
    </row>
    <row r="99" spans="1:31" x14ac:dyDescent="0.25">
      <c r="B99" s="307"/>
      <c r="U99" s="19"/>
      <c r="V99" s="47"/>
      <c r="W99" s="47"/>
      <c r="X99" s="47"/>
      <c r="Y99" s="47"/>
      <c r="Z99" s="19"/>
      <c r="AA99" s="47"/>
      <c r="AB99" s="47"/>
      <c r="AC99" s="47"/>
      <c r="AD99" s="47"/>
      <c r="AE99" s="47"/>
    </row>
    <row r="100" spans="1:31" ht="15.6" x14ac:dyDescent="0.3">
      <c r="B100" s="534" t="s">
        <v>69</v>
      </c>
      <c r="C100" s="534"/>
      <c r="D100" s="534"/>
      <c r="E100" s="534"/>
      <c r="F100" s="534"/>
      <c r="G100" s="534"/>
      <c r="H100" s="534"/>
      <c r="I100" s="534"/>
      <c r="J100" s="534"/>
      <c r="K100" s="534"/>
      <c r="L100" s="534"/>
      <c r="M100" s="534"/>
      <c r="N100" s="534"/>
      <c r="P100" s="406" t="s">
        <v>256</v>
      </c>
      <c r="Q100" s="26" t="s">
        <v>52</v>
      </c>
      <c r="R100" s="26" t="s">
        <v>0</v>
      </c>
      <c r="S100" s="26" t="s">
        <v>53</v>
      </c>
      <c r="U100" s="44"/>
      <c r="V100" s="44"/>
      <c r="W100" s="44"/>
      <c r="X100" s="44"/>
      <c r="Y100" s="47"/>
      <c r="Z100" s="44"/>
      <c r="AA100" s="44"/>
      <c r="AB100" s="44"/>
      <c r="AC100" s="44"/>
      <c r="AD100" s="47"/>
      <c r="AE100" s="47"/>
    </row>
    <row r="101" spans="1:31" ht="15.6" x14ac:dyDescent="0.3">
      <c r="B101" s="534" t="s">
        <v>187</v>
      </c>
      <c r="C101" s="534"/>
      <c r="D101" s="534"/>
      <c r="E101" s="534"/>
      <c r="F101" s="534"/>
      <c r="G101" s="534"/>
      <c r="H101" s="534"/>
      <c r="I101" s="534"/>
      <c r="J101" s="534"/>
      <c r="K101" s="534"/>
      <c r="L101" s="534"/>
      <c r="M101" s="534"/>
      <c r="N101" s="534"/>
      <c r="P101" s="413" t="s">
        <v>450</v>
      </c>
      <c r="Q101" s="417">
        <f>'BGS PTY16 Cost Alloc'!E138</f>
        <v>7872.9567666676585</v>
      </c>
      <c r="R101" s="417">
        <f>'BGS PTY16 Cost Alloc'!F138</f>
        <v>288754.59779141052</v>
      </c>
      <c r="S101" s="417">
        <f>'BGS PTY16 Cost Alloc'!G138</f>
        <v>200349.19207441181</v>
      </c>
      <c r="T101" s="416">
        <f>SUM(Q101:S101)</f>
        <v>496976.74663248996</v>
      </c>
      <c r="U101" s="489"/>
      <c r="V101" s="476"/>
      <c r="W101" s="476"/>
      <c r="X101" s="476"/>
      <c r="Y101" s="477"/>
      <c r="Z101" s="489"/>
      <c r="AA101" s="476"/>
      <c r="AB101" s="476"/>
      <c r="AC101" s="476"/>
      <c r="AD101" s="477"/>
      <c r="AE101" s="47"/>
    </row>
    <row r="102" spans="1:31" ht="15.6" x14ac:dyDescent="0.3">
      <c r="B102" s="534" t="s">
        <v>238</v>
      </c>
      <c r="C102" s="534"/>
      <c r="D102" s="534"/>
      <c r="E102" s="534"/>
      <c r="F102" s="534"/>
      <c r="G102" s="534"/>
      <c r="H102" s="534"/>
      <c r="I102" s="534"/>
      <c r="J102" s="534"/>
      <c r="K102" s="534"/>
      <c r="L102" s="534"/>
      <c r="M102" s="534"/>
      <c r="N102" s="534"/>
      <c r="P102" s="413" t="s">
        <v>451</v>
      </c>
      <c r="Q102" s="417">
        <f>'BGS PTY16 Cost Alloc'!E168/'BGS PTY16 Cost Alloc'!$J$168*'BGS PTY16 Cost Alloc'!$H$181/1000</f>
        <v>7002.190908777633</v>
      </c>
      <c r="R102" s="417">
        <f>'BGS PTY16 Cost Alloc'!F168/'BGS PTY16 Cost Alloc'!$J$168*'BGS PTY16 Cost Alloc'!$H$181/1000</f>
        <v>231521.12804273103</v>
      </c>
      <c r="S102" s="417">
        <f>'BGS PTY16 Cost Alloc'!G168/'BGS PTY16 Cost Alloc'!$J$168*'BGS PTY16 Cost Alloc'!$H$181/1000</f>
        <v>129115.76220504401</v>
      </c>
      <c r="T102" s="416">
        <f>SUM(Q102:S102)</f>
        <v>367639.08115655265</v>
      </c>
      <c r="U102" s="489"/>
      <c r="V102" s="476"/>
      <c r="W102" s="476"/>
      <c r="X102" s="476"/>
      <c r="Y102" s="477"/>
      <c r="Z102" s="489"/>
      <c r="AA102" s="476"/>
      <c r="AB102" s="476"/>
      <c r="AC102" s="476"/>
      <c r="AD102" s="477"/>
      <c r="AE102" s="47"/>
    </row>
    <row r="103" spans="1:31" x14ac:dyDescent="0.25">
      <c r="N103" s="121"/>
      <c r="U103" s="47"/>
      <c r="V103" s="47"/>
      <c r="W103" s="47"/>
      <c r="X103" s="47"/>
      <c r="Y103" s="47"/>
      <c r="Z103" s="47"/>
      <c r="AA103" s="47"/>
      <c r="AB103" s="47"/>
      <c r="AC103" s="47"/>
      <c r="AD103" s="47"/>
      <c r="AE103" s="47"/>
    </row>
    <row r="104" spans="1:31" x14ac:dyDescent="0.25">
      <c r="P104" s="413" t="s">
        <v>400</v>
      </c>
      <c r="Q104" s="418">
        <f>Q102/(Q101+Q102)</f>
        <v>0.47073084997578152</v>
      </c>
      <c r="R104" s="418">
        <f>R102/(R101+R102)</f>
        <v>0.44499698245875408</v>
      </c>
      <c r="S104" s="418">
        <f>S102/(S101+S102)</f>
        <v>0.3918952851523218</v>
      </c>
      <c r="U104" s="47"/>
      <c r="V104" s="478"/>
      <c r="W104" s="478"/>
      <c r="X104" s="478"/>
      <c r="Y104" s="47"/>
      <c r="Z104" s="47"/>
      <c r="AA104" s="479"/>
      <c r="AB104" s="479"/>
      <c r="AC104" s="479"/>
      <c r="AD104" s="47"/>
      <c r="AE104" s="47"/>
    </row>
    <row r="105" spans="1:31" x14ac:dyDescent="0.25">
      <c r="E105" s="17"/>
      <c r="O105" s="19"/>
      <c r="P105" s="164"/>
      <c r="Q105" s="492"/>
      <c r="R105" s="492"/>
      <c r="S105" s="492"/>
      <c r="T105" s="47"/>
      <c r="U105" s="47"/>
      <c r="V105" s="47"/>
      <c r="W105" s="47"/>
      <c r="X105" s="47"/>
      <c r="Y105" s="47"/>
      <c r="Z105" s="47"/>
      <c r="AA105" s="47"/>
      <c r="AB105" s="47"/>
      <c r="AC105" s="47"/>
      <c r="AD105" s="47"/>
      <c r="AE105" s="47"/>
    </row>
    <row r="106" spans="1:31" x14ac:dyDescent="0.25">
      <c r="A106" s="18" t="s">
        <v>261</v>
      </c>
      <c r="B106" s="164" t="s">
        <v>241</v>
      </c>
      <c r="C106" s="20"/>
      <c r="E106" s="166"/>
      <c r="F106" s="38"/>
      <c r="P106" s="413" t="s">
        <v>423</v>
      </c>
      <c r="Q106" s="419">
        <v>0.20499999999999999</v>
      </c>
      <c r="R106" s="419">
        <v>0.219</v>
      </c>
      <c r="S106" s="419">
        <v>0.66600000000000004</v>
      </c>
      <c r="T106" s="467" t="s">
        <v>452</v>
      </c>
      <c r="U106" s="47"/>
      <c r="V106" s="479"/>
      <c r="W106" s="479"/>
      <c r="X106" s="479"/>
      <c r="Y106" s="426"/>
      <c r="Z106" s="47"/>
      <c r="AA106" s="479"/>
      <c r="AB106" s="479"/>
      <c r="AC106" s="479"/>
      <c r="AD106" s="426"/>
      <c r="AE106" s="47"/>
    </row>
    <row r="107" spans="1:31" x14ac:dyDescent="0.25">
      <c r="B107" s="17" t="s">
        <v>448</v>
      </c>
      <c r="P107" s="413" t="s">
        <v>401</v>
      </c>
      <c r="Q107" s="416" t="e">
        <f>E98*(1-Q106*50%*Q104)*1000</f>
        <v>#REF!</v>
      </c>
      <c r="R107" s="416" t="e">
        <f>F98*(1-R106*50%*R104)*1000</f>
        <v>#REF!</v>
      </c>
      <c r="S107" s="416" t="e">
        <f>G98*(1-S106*50%*S104)*1000</f>
        <v>#REF!</v>
      </c>
      <c r="U107" s="47"/>
      <c r="V107" s="47"/>
      <c r="W107" s="47"/>
      <c r="X107" s="47"/>
      <c r="Y107" s="47"/>
      <c r="Z107" s="47"/>
      <c r="AA107" s="477"/>
      <c r="AB107" s="477"/>
      <c r="AC107" s="477"/>
      <c r="AD107" s="47"/>
      <c r="AE107" s="47"/>
    </row>
    <row r="108" spans="1:31" ht="13.8" thickBot="1" x14ac:dyDescent="0.3">
      <c r="E108" s="26" t="s">
        <v>61</v>
      </c>
      <c r="F108" s="26" t="s">
        <v>62</v>
      </c>
      <c r="G108" s="26" t="s">
        <v>65</v>
      </c>
      <c r="H108" s="26" t="s">
        <v>203</v>
      </c>
      <c r="I108" s="26" t="s">
        <v>55</v>
      </c>
      <c r="P108" s="420" t="s">
        <v>402</v>
      </c>
      <c r="Q108" s="421">
        <f>E122*(1-Q106*50%*Q104*(Q109))</f>
        <v>226852459.2867828</v>
      </c>
      <c r="R108" s="421">
        <f>F122*(1-R106*50%*R104*(R109))</f>
        <v>8475056409.0244532</v>
      </c>
      <c r="S108" s="421">
        <f>G122*(1-S106*50%*S104*(S109))</f>
        <v>5227338638.4429426</v>
      </c>
      <c r="T108" s="406" t="s">
        <v>256</v>
      </c>
      <c r="U108" s="47"/>
      <c r="V108" s="132"/>
      <c r="W108" s="132"/>
      <c r="X108" s="132"/>
      <c r="Y108" s="47"/>
      <c r="Z108" s="47"/>
      <c r="AA108" s="132"/>
      <c r="AB108" s="132"/>
      <c r="AC108" s="132"/>
      <c r="AD108" s="47"/>
      <c r="AE108" s="47"/>
    </row>
    <row r="109" spans="1:31" ht="13.8" thickBot="1" x14ac:dyDescent="0.3">
      <c r="P109" s="420" t="s">
        <v>416</v>
      </c>
      <c r="Q109" s="443">
        <v>0.81</v>
      </c>
      <c r="R109" s="444">
        <v>0.80500000000000005</v>
      </c>
      <c r="S109" s="445">
        <v>0.96899999999999997</v>
      </c>
      <c r="T109" s="436" t="s">
        <v>256</v>
      </c>
      <c r="U109" s="480"/>
      <c r="V109" s="481"/>
      <c r="W109" s="481"/>
      <c r="X109" s="481"/>
      <c r="Y109" s="426"/>
      <c r="Z109" s="47"/>
      <c r="AA109" s="481"/>
      <c r="AB109" s="481"/>
      <c r="AC109" s="481"/>
      <c r="AD109" s="426"/>
      <c r="AE109" s="47"/>
    </row>
    <row r="110" spans="1:31" x14ac:dyDescent="0.25">
      <c r="B110" s="28" t="s">
        <v>17</v>
      </c>
      <c r="E110" s="55">
        <f>SUM('BGS PTY16 Cost Alloc'!W65:W68)</f>
        <v>2080422.4798940001</v>
      </c>
      <c r="G110" s="55">
        <f>SUM('BGS PTY16 Cost Alloc'!G65:G68)*1000</f>
        <v>2187580000</v>
      </c>
      <c r="I110" s="55">
        <f>SUM('BGS PTY16 Cost Alloc'!I65:I68)*1000</f>
        <v>38075000</v>
      </c>
      <c r="P110" s="413" t="s">
        <v>403</v>
      </c>
      <c r="Q110" s="422" t="e">
        <f>Q107*1000/Q108</f>
        <v>#REF!</v>
      </c>
      <c r="R110" s="422" t="e">
        <f>R107*1000/R108</f>
        <v>#REF!</v>
      </c>
      <c r="S110" s="422" t="e">
        <f>S107*1000/S108</f>
        <v>#REF!</v>
      </c>
      <c r="T110" s="406" t="s">
        <v>256</v>
      </c>
      <c r="U110" s="439"/>
      <c r="V110" s="482"/>
      <c r="W110" s="482"/>
      <c r="X110" s="482"/>
      <c r="Y110" s="47"/>
      <c r="Z110" s="47"/>
      <c r="AA110" s="482"/>
      <c r="AB110" s="482"/>
      <c r="AC110" s="482"/>
      <c r="AD110" s="47"/>
      <c r="AE110" s="47"/>
    </row>
    <row r="111" spans="1:31" x14ac:dyDescent="0.25">
      <c r="B111" s="77" t="s">
        <v>72</v>
      </c>
      <c r="E111" s="55">
        <f>ROUND(SUMPRODUCT('BGS PTY16 Cost Alloc'!E65:E68,'BGS PTY16 Cost Alloc'!E38:E41)*1000-AVERAGE('BGS PTY16 Cost Alloc'!E38:E41)*E110,0)</f>
        <v>30286611</v>
      </c>
      <c r="H111" s="55">
        <f>SUMPRODUCT('BGS PTY16 Cost Alloc'!H65:H68,'BGS PTY16 Cost Alloc'!H38:H41)*1000</f>
        <v>15200926.100000001</v>
      </c>
      <c r="O111" s="55"/>
      <c r="P111" s="413" t="s">
        <v>404</v>
      </c>
      <c r="Q111" s="423" t="e">
        <f>T143</f>
        <v>#REF!</v>
      </c>
      <c r="R111" s="423" t="e">
        <f>U143</f>
        <v>#REF!</v>
      </c>
      <c r="S111" s="423" t="e">
        <f>V143</f>
        <v>#REF!</v>
      </c>
      <c r="U111" s="439"/>
      <c r="V111" s="482"/>
      <c r="W111" s="482"/>
      <c r="X111" s="482"/>
      <c r="Y111" s="47"/>
      <c r="Z111" s="47"/>
      <c r="AA111" s="482"/>
      <c r="AB111" s="482"/>
      <c r="AC111" s="482"/>
      <c r="AD111" s="47"/>
      <c r="AE111" s="47"/>
    </row>
    <row r="112" spans="1:31" x14ac:dyDescent="0.25">
      <c r="B112" s="77" t="s">
        <v>73</v>
      </c>
      <c r="E112" s="55">
        <f>ROUND(SUM('BGS PTY16 Cost Alloc'!E65:E68)*1000,0)-E110-E111</f>
        <v>43822966.520106003</v>
      </c>
      <c r="H112" s="55">
        <f>SUM('BGS PTY16 Cost Alloc'!H65:H68)*1000-H111</f>
        <v>17415073.899999999</v>
      </c>
      <c r="P112" s="413" t="s">
        <v>405</v>
      </c>
      <c r="Q112" s="252" t="e">
        <f>Q110/Q111</f>
        <v>#REF!</v>
      </c>
      <c r="R112" s="252" t="e">
        <f>R110/R111</f>
        <v>#REF!</v>
      </c>
      <c r="S112" s="252" t="e">
        <f>S110/S111</f>
        <v>#REF!</v>
      </c>
      <c r="T112" s="438" t="s">
        <v>256</v>
      </c>
      <c r="U112" s="47"/>
      <c r="V112" s="483"/>
      <c r="W112" s="483"/>
      <c r="X112" s="483"/>
      <c r="Y112" s="47"/>
      <c r="Z112" s="47"/>
      <c r="AA112" s="483"/>
      <c r="AB112" s="483"/>
      <c r="AC112" s="483"/>
      <c r="AD112" s="47"/>
      <c r="AE112" s="47"/>
    </row>
    <row r="113" spans="1:32" x14ac:dyDescent="0.25">
      <c r="B113" s="89" t="s">
        <v>142</v>
      </c>
      <c r="F113" s="55">
        <f>ROUND('BGS PTY16 Cost Alloc'!R65,0)*1000</f>
        <v>1937650000</v>
      </c>
      <c r="P113" s="439" t="s">
        <v>417</v>
      </c>
      <c r="Q113" s="109" t="e">
        <f>1-Q112</f>
        <v>#REF!</v>
      </c>
      <c r="R113" s="109" t="e">
        <f t="shared" ref="R113:S113" si="0">1-R112</f>
        <v>#REF!</v>
      </c>
      <c r="S113" s="109" t="e">
        <f t="shared" si="0"/>
        <v>#REF!</v>
      </c>
      <c r="U113" s="47"/>
      <c r="V113" s="484"/>
      <c r="W113" s="484"/>
      <c r="X113" s="484"/>
      <c r="Y113" s="47"/>
      <c r="Z113" s="47"/>
      <c r="AA113" s="484"/>
      <c r="AB113" s="484"/>
      <c r="AC113" s="484"/>
      <c r="AD113" s="47"/>
      <c r="AE113" s="47"/>
    </row>
    <row r="114" spans="1:32" x14ac:dyDescent="0.25">
      <c r="B114" s="89" t="s">
        <v>144</v>
      </c>
      <c r="F114" s="55">
        <f>ROUND('BGS PTY16 Cost Alloc'!R66,0)*1000</f>
        <v>1725873000</v>
      </c>
      <c r="O114" s="19"/>
      <c r="P114" s="164"/>
      <c r="Q114" s="492"/>
      <c r="R114" s="492"/>
      <c r="S114" s="492"/>
      <c r="U114" s="47"/>
      <c r="V114" s="47"/>
      <c r="W114" s="47"/>
      <c r="X114" s="47"/>
      <c r="Y114" s="47"/>
      <c r="Z114" s="47"/>
      <c r="AA114" s="47"/>
      <c r="AB114" s="47"/>
      <c r="AC114" s="47"/>
      <c r="AD114" s="47"/>
      <c r="AE114" s="47"/>
    </row>
    <row r="115" spans="1:32" x14ac:dyDescent="0.25">
      <c r="O115" s="19"/>
      <c r="P115" s="164"/>
      <c r="Q115" s="492"/>
      <c r="R115" s="492"/>
      <c r="S115" s="492"/>
      <c r="U115" s="47"/>
      <c r="V115" s="47"/>
      <c r="W115" s="47"/>
      <c r="X115" s="47"/>
      <c r="Y115" s="47"/>
      <c r="Z115" s="47"/>
      <c r="AA115" s="47"/>
      <c r="AB115" s="47"/>
      <c r="AC115" s="47"/>
      <c r="AD115" s="47"/>
      <c r="AE115" s="47"/>
    </row>
    <row r="116" spans="1:32" x14ac:dyDescent="0.25">
      <c r="B116" s="28" t="s">
        <v>18</v>
      </c>
      <c r="E116" s="55">
        <f>'BGS PTY16 Cost Alloc'!W72-E110</f>
        <v>4242572.9285309995</v>
      </c>
      <c r="F116" s="55">
        <f>ROUND('BGS PTY16 Cost Alloc'!F72,0)*1000-SUM(F113:F114)</f>
        <v>5157543000</v>
      </c>
      <c r="G116" s="55">
        <f>'BGS PTY16 Cost Alloc'!G72*1000-G110</f>
        <v>3796476000</v>
      </c>
      <c r="I116" s="55">
        <f>'BGS PTY16 Cost Alloc'!I72*1000-'Composite 4yr Cong'!I110</f>
        <v>76214000</v>
      </c>
      <c r="P116" s="413"/>
      <c r="Q116" s="292"/>
      <c r="R116" s="292"/>
      <c r="S116" s="292"/>
      <c r="T116" s="442"/>
      <c r="U116" s="485"/>
      <c r="V116" s="486"/>
      <c r="W116" s="486"/>
      <c r="X116" s="486"/>
      <c r="Y116" s="47"/>
      <c r="Z116" s="47"/>
      <c r="AA116" s="486"/>
      <c r="AB116" s="486"/>
      <c r="AC116" s="486"/>
      <c r="AD116" s="47"/>
      <c r="AE116" s="47"/>
    </row>
    <row r="117" spans="1:32" x14ac:dyDescent="0.25">
      <c r="B117" s="77" t="s">
        <v>72</v>
      </c>
      <c r="E117" s="55">
        <f>SUMPRODUCT('BGS PTY16 Cost Alloc'!E60:E71,'BGS PTY16 Cost Alloc'!E33:E44)*1000-E111-SUMPRODUCT('BGS PTY16 Cost Alloc'!W60:W71,'BGS PTY16 Cost Alloc'!E33:E44)</f>
        <v>55263715.358677089</v>
      </c>
      <c r="H117" s="55">
        <f>SUMPRODUCT('BGS PTY16 Cost Alloc'!H60:H71,'BGS PTY16 Cost Alloc'!H33:H44)*1000-H111</f>
        <v>37452340.899999999</v>
      </c>
      <c r="P117" s="413"/>
      <c r="Q117" s="292"/>
      <c r="R117" s="292"/>
      <c r="S117" s="292"/>
      <c r="T117" s="442"/>
      <c r="U117" s="485"/>
      <c r="V117" s="486"/>
      <c r="W117" s="486"/>
      <c r="X117" s="486"/>
      <c r="Y117" s="47"/>
      <c r="Z117" s="487"/>
      <c r="AA117" s="486"/>
      <c r="AB117" s="486"/>
      <c r="AC117" s="486"/>
      <c r="AD117" s="47"/>
      <c r="AE117" s="47"/>
    </row>
    <row r="118" spans="1:32" x14ac:dyDescent="0.25">
      <c r="B118" s="77" t="s">
        <v>73</v>
      </c>
      <c r="E118" s="55">
        <f>'BGS PTY16 Cost Alloc'!E72*1000-E110-E111-E112-E116-E117</f>
        <v>100382711.71279192</v>
      </c>
      <c r="H118" s="55">
        <f>'BGS PTY16 Cost Alloc'!H72*1000-H111-H112-H117</f>
        <v>47954659.100000001</v>
      </c>
      <c r="U118" s="47"/>
      <c r="V118" s="47"/>
      <c r="W118" s="47"/>
      <c r="X118" s="47"/>
      <c r="Y118" s="47"/>
      <c r="Z118" s="487"/>
      <c r="AA118" s="487"/>
      <c r="AB118" s="487"/>
      <c r="AC118" s="487"/>
      <c r="AD118" s="487"/>
      <c r="AE118" s="487"/>
    </row>
    <row r="119" spans="1:32" x14ac:dyDescent="0.25">
      <c r="J119" s="26" t="s">
        <v>13</v>
      </c>
      <c r="K119" s="26"/>
      <c r="L119" s="26"/>
      <c r="U119" s="47"/>
      <c r="V119" s="426"/>
      <c r="W119" s="47"/>
      <c r="X119" s="47"/>
      <c r="Y119" s="47"/>
      <c r="Z119" s="487"/>
      <c r="AA119" s="487"/>
      <c r="AB119" s="487"/>
      <c r="AC119" s="487"/>
      <c r="AD119" s="487"/>
      <c r="AE119" s="487"/>
    </row>
    <row r="120" spans="1:32" x14ac:dyDescent="0.25">
      <c r="B120" s="89" t="s">
        <v>162</v>
      </c>
      <c r="E120" s="55">
        <f>SUM(E110:E114)</f>
        <v>76190000</v>
      </c>
      <c r="F120" s="55">
        <f>SUM(F110:F114)</f>
        <v>3663523000</v>
      </c>
      <c r="G120" s="55">
        <f>SUM(G110:G114)</f>
        <v>2187580000</v>
      </c>
      <c r="H120" s="55">
        <f>SUM(H110:H114)</f>
        <v>32616000</v>
      </c>
      <c r="I120" s="55">
        <f>SUM(I110:I114)</f>
        <v>38075000</v>
      </c>
      <c r="J120" s="55">
        <f>SUM(E120:I120)</f>
        <v>5997984000</v>
      </c>
      <c r="K120" s="55"/>
      <c r="L120" s="55"/>
      <c r="Q120" s="437">
        <v>0</v>
      </c>
      <c r="R120" s="438" t="s">
        <v>408</v>
      </c>
      <c r="U120" s="47"/>
      <c r="V120" s="426"/>
      <c r="W120" s="490"/>
      <c r="X120" s="47"/>
      <c r="Y120" s="47"/>
      <c r="Z120" s="487"/>
      <c r="AA120" s="487"/>
      <c r="AB120" s="487"/>
      <c r="AC120" s="487"/>
      <c r="AD120" s="487"/>
      <c r="AE120" s="487"/>
    </row>
    <row r="121" spans="1:32" x14ac:dyDescent="0.25">
      <c r="B121" s="89" t="s">
        <v>163</v>
      </c>
      <c r="E121" s="139">
        <f>SUM(E116:E118)</f>
        <v>159889000</v>
      </c>
      <c r="F121" s="139">
        <f>SUM(F116:F118)</f>
        <v>5157543000</v>
      </c>
      <c r="G121" s="287">
        <f>SUM(G116:G118)</f>
        <v>3796476000</v>
      </c>
      <c r="H121" s="287">
        <f>SUM(H116:H118)</f>
        <v>85407000</v>
      </c>
      <c r="I121" s="287">
        <f>SUM(I116:I118)</f>
        <v>76214000</v>
      </c>
      <c r="J121" s="139">
        <f>SUM(E121:I121)</f>
        <v>9275529000</v>
      </c>
      <c r="K121" s="139"/>
      <c r="L121" s="139"/>
      <c r="U121" s="47"/>
      <c r="V121" s="426"/>
      <c r="W121" s="490"/>
      <c r="X121" s="47"/>
      <c r="Y121" s="47"/>
      <c r="Z121" s="47"/>
      <c r="AA121" s="487"/>
      <c r="AB121" s="487"/>
      <c r="AC121" s="487"/>
      <c r="AD121" s="487"/>
      <c r="AE121" s="487"/>
    </row>
    <row r="122" spans="1:32" ht="13.8" thickBot="1" x14ac:dyDescent="0.3">
      <c r="B122" s="89" t="s">
        <v>164</v>
      </c>
      <c r="E122" s="55">
        <f>SUM(E120:E121)</f>
        <v>236079000</v>
      </c>
      <c r="F122" s="55">
        <f>SUM(F120:F121)</f>
        <v>8821066000</v>
      </c>
      <c r="G122" s="55">
        <f>SUM(G120:G121)</f>
        <v>5984056000</v>
      </c>
      <c r="H122" s="55">
        <f>SUM(H120:H121)</f>
        <v>118023000</v>
      </c>
      <c r="I122" s="55">
        <f>SUM(I120:I121)</f>
        <v>114289000</v>
      </c>
      <c r="J122" s="55">
        <f>SUM(E122:I122)</f>
        <v>15273513000</v>
      </c>
      <c r="K122" s="55"/>
      <c r="L122" s="55"/>
      <c r="O122" s="447"/>
      <c r="P122" s="448" t="s">
        <v>419</v>
      </c>
      <c r="Q122" s="456" t="e">
        <f>Q112</f>
        <v>#REF!</v>
      </c>
      <c r="R122" s="456" t="e">
        <f>R112</f>
        <v>#REF!</v>
      </c>
      <c r="S122" s="456" t="e">
        <f>S112</f>
        <v>#REF!</v>
      </c>
      <c r="T122" s="455" t="s">
        <v>421</v>
      </c>
      <c r="U122" s="488"/>
      <c r="V122" s="426"/>
      <c r="W122" s="475"/>
      <c r="X122" s="47"/>
      <c r="Y122" s="47"/>
      <c r="Z122" s="47"/>
      <c r="AA122" s="47"/>
      <c r="AB122" s="47"/>
      <c r="AC122" s="47"/>
      <c r="AD122" s="47"/>
      <c r="AE122" s="47"/>
      <c r="AF122" s="416"/>
    </row>
    <row r="123" spans="1:32" ht="13.8" thickBot="1" x14ac:dyDescent="0.3">
      <c r="P123" s="449" t="s">
        <v>420</v>
      </c>
      <c r="Q123" s="450" t="e">
        <f>O209</f>
        <v>#REF!</v>
      </c>
      <c r="AF123" s="416"/>
    </row>
    <row r="124" spans="1:32" x14ac:dyDescent="0.25">
      <c r="AF124" s="416"/>
    </row>
    <row r="125" spans="1:32" x14ac:dyDescent="0.25">
      <c r="Q125" s="16" t="s">
        <v>407</v>
      </c>
    </row>
    <row r="126" spans="1:32" x14ac:dyDescent="0.25">
      <c r="A126" s="18" t="s">
        <v>262</v>
      </c>
      <c r="B126" s="16" t="s">
        <v>96</v>
      </c>
      <c r="P126" s="18" t="s">
        <v>262</v>
      </c>
      <c r="Q126" s="16" t="s">
        <v>406</v>
      </c>
    </row>
    <row r="127" spans="1:32" x14ac:dyDescent="0.25">
      <c r="A127" s="22"/>
      <c r="B127" s="16"/>
      <c r="P127" s="22"/>
      <c r="Q127" s="16"/>
    </row>
    <row r="128" spans="1:32" x14ac:dyDescent="0.25">
      <c r="A128" s="22"/>
      <c r="B128" s="16" t="s">
        <v>97</v>
      </c>
      <c r="P128" s="18"/>
      <c r="Q128" s="16" t="s">
        <v>97</v>
      </c>
    </row>
    <row r="129" spans="1:28" x14ac:dyDescent="0.25">
      <c r="A129" s="22"/>
      <c r="B129" s="17" t="s">
        <v>249</v>
      </c>
      <c r="P129" s="22"/>
      <c r="Q129" s="17" t="s">
        <v>249</v>
      </c>
    </row>
    <row r="130" spans="1:28" x14ac:dyDescent="0.25">
      <c r="A130" s="22"/>
      <c r="B130" s="17" t="s">
        <v>21</v>
      </c>
      <c r="P130" s="22"/>
      <c r="Q130" s="17" t="s">
        <v>21</v>
      </c>
    </row>
    <row r="131" spans="1:28" x14ac:dyDescent="0.25">
      <c r="A131" s="22"/>
      <c r="C131" s="26"/>
      <c r="D131" s="26"/>
      <c r="E131" s="26" t="str">
        <f>E108</f>
        <v>RT{1}</v>
      </c>
      <c r="F131" s="26" t="str">
        <f>F108</f>
        <v>RS{2}</v>
      </c>
      <c r="G131" s="26" t="str">
        <f>G108</f>
        <v>GS{3}</v>
      </c>
      <c r="H131" s="26" t="str">
        <f>H108</f>
        <v>GST {4}</v>
      </c>
      <c r="I131" s="26" t="str">
        <f>I108</f>
        <v>OL/SL</v>
      </c>
      <c r="J131" s="26"/>
      <c r="K131" s="26"/>
      <c r="L131" s="26"/>
      <c r="P131" s="22"/>
      <c r="R131" s="26"/>
      <c r="S131" s="26"/>
      <c r="T131" s="26" t="str">
        <f>E108</f>
        <v>RT{1}</v>
      </c>
      <c r="U131" s="26" t="str">
        <f>F108</f>
        <v>RS{2}</v>
      </c>
      <c r="V131" s="26" t="str">
        <f>G108</f>
        <v>GS{3}</v>
      </c>
      <c r="W131" s="26" t="str">
        <f>H108</f>
        <v>GST {4}</v>
      </c>
      <c r="X131" s="26" t="str">
        <f>I108</f>
        <v>OL/SL</v>
      </c>
      <c r="Y131" s="26"/>
      <c r="Z131" s="26"/>
    </row>
    <row r="132" spans="1:28" x14ac:dyDescent="0.25">
      <c r="A132" s="22"/>
      <c r="C132" s="26"/>
      <c r="D132" s="26"/>
      <c r="E132" s="74"/>
      <c r="F132" s="26"/>
      <c r="G132" s="26"/>
      <c r="P132" s="22"/>
      <c r="R132" s="26"/>
      <c r="S132" s="26"/>
      <c r="T132" s="74"/>
      <c r="U132" s="26"/>
      <c r="V132" s="26"/>
      <c r="AA132" s="26"/>
    </row>
    <row r="133" spans="1:28" x14ac:dyDescent="0.25">
      <c r="A133" s="22"/>
      <c r="B133" s="28" t="s">
        <v>17</v>
      </c>
      <c r="C133" s="74"/>
      <c r="D133" s="74"/>
      <c r="E133" s="74" t="e">
        <f>E85*1000/(E110/1000)</f>
        <v>#REF!</v>
      </c>
      <c r="F133" s="74"/>
      <c r="G133" s="424" t="e">
        <f>G85*1000/(G110/1000)*S122</f>
        <v>#REF!</v>
      </c>
      <c r="H133" s="74"/>
      <c r="I133" s="74" t="e">
        <f>I85*1000/(I110/1000)</f>
        <v>#REF!</v>
      </c>
      <c r="J133" s="74"/>
      <c r="K133" s="74"/>
      <c r="L133" s="74"/>
      <c r="M133" s="74"/>
      <c r="P133" s="22"/>
      <c r="Q133" s="28" t="s">
        <v>17</v>
      </c>
      <c r="R133" s="74"/>
      <c r="S133" s="74"/>
      <c r="T133" s="74" t="e">
        <f>E85*1000/(E110/1000)</f>
        <v>#REF!</v>
      </c>
      <c r="U133" s="74"/>
      <c r="V133" s="74" t="e">
        <f>G85*1000/(G110/1000)</f>
        <v>#REF!</v>
      </c>
      <c r="W133" s="74"/>
      <c r="X133" s="74" t="e">
        <f>I85*1000/(I110/1000)</f>
        <v>#REF!</v>
      </c>
      <c r="Y133" s="74"/>
      <c r="Z133" s="74"/>
    </row>
    <row r="134" spans="1:28" x14ac:dyDescent="0.25">
      <c r="A134" s="22"/>
      <c r="B134" s="77" t="s">
        <v>72</v>
      </c>
      <c r="C134" s="74"/>
      <c r="D134" s="74"/>
      <c r="E134" s="424" t="e">
        <f>E86*1000/(E111/1000)*Q122</f>
        <v>#REF!</v>
      </c>
      <c r="F134" s="74"/>
      <c r="G134" s="74"/>
      <c r="H134" s="74" t="e">
        <f>H86*1000/(H111/1000)</f>
        <v>#REF!</v>
      </c>
      <c r="I134" s="74"/>
      <c r="J134" s="74"/>
      <c r="K134" s="74"/>
      <c r="L134" s="74"/>
      <c r="P134" s="22"/>
      <c r="Q134" s="77" t="s">
        <v>72</v>
      </c>
      <c r="R134" s="74"/>
      <c r="S134" s="74"/>
      <c r="T134" s="74" t="e">
        <f>E86*1000/(E111/1000)</f>
        <v>#REF!</v>
      </c>
      <c r="U134" s="74"/>
      <c r="V134" s="74"/>
      <c r="W134" s="74" t="e">
        <f>H86*1000/(H111/1000)</f>
        <v>#REF!</v>
      </c>
      <c r="X134" s="74"/>
      <c r="Y134" s="74"/>
      <c r="Z134" s="74"/>
      <c r="AA134" s="74"/>
      <c r="AB134" s="74"/>
    </row>
    <row r="135" spans="1:28" x14ac:dyDescent="0.25">
      <c r="A135" s="22"/>
      <c r="B135" s="77" t="s">
        <v>73</v>
      </c>
      <c r="C135" s="74"/>
      <c r="D135" s="74"/>
      <c r="E135" s="424" t="e">
        <f>E87*1000/(E112/1000)*Q122</f>
        <v>#REF!</v>
      </c>
      <c r="F135" s="74"/>
      <c r="G135" s="74"/>
      <c r="H135" s="74" t="e">
        <f>H87*1000/(H112/1000)</f>
        <v>#REF!</v>
      </c>
      <c r="I135" s="74"/>
      <c r="J135" s="74"/>
      <c r="K135" s="74"/>
      <c r="L135" s="74"/>
      <c r="P135" s="22"/>
      <c r="Q135" s="77" t="s">
        <v>73</v>
      </c>
      <c r="R135" s="74"/>
      <c r="S135" s="74"/>
      <c r="T135" s="74" t="e">
        <f>E87*1000/(E112/1000)</f>
        <v>#REF!</v>
      </c>
      <c r="U135" s="74"/>
      <c r="V135" s="74"/>
      <c r="W135" s="74" t="e">
        <f>H87*1000/(H112/1000)</f>
        <v>#REF!</v>
      </c>
      <c r="X135" s="74"/>
      <c r="Y135" s="74"/>
      <c r="Z135" s="74"/>
      <c r="AA135" s="74"/>
    </row>
    <row r="136" spans="1:28" x14ac:dyDescent="0.25">
      <c r="A136" s="22"/>
      <c r="B136" s="89" t="s">
        <v>142</v>
      </c>
      <c r="C136" s="74"/>
      <c r="D136" s="74"/>
      <c r="E136" s="74"/>
      <c r="F136" s="424" t="e">
        <f>F88*1000/(F113/1000)*R122</f>
        <v>#REF!</v>
      </c>
      <c r="G136" s="74"/>
      <c r="H136" s="74"/>
      <c r="I136" s="74"/>
      <c r="J136" s="74"/>
      <c r="K136" s="74"/>
      <c r="L136" s="74"/>
      <c r="P136" s="22"/>
      <c r="Q136" s="89" t="s">
        <v>142</v>
      </c>
      <c r="R136" s="74"/>
      <c r="S136" s="74"/>
      <c r="T136" s="74"/>
      <c r="U136" s="74" t="e">
        <f>F88*1000/(F113/1000)</f>
        <v>#REF!</v>
      </c>
      <c r="V136" s="74"/>
      <c r="W136" s="74"/>
      <c r="X136" s="74"/>
      <c r="Y136" s="74"/>
      <c r="Z136" s="74"/>
      <c r="AA136" s="74"/>
    </row>
    <row r="137" spans="1:28" x14ac:dyDescent="0.25">
      <c r="A137" s="22"/>
      <c r="B137" s="89" t="s">
        <v>144</v>
      </c>
      <c r="C137" s="74"/>
      <c r="D137" s="74"/>
      <c r="E137" s="74"/>
      <c r="F137" s="424" t="e">
        <f>F89*1000/(F114/1000)*R122</f>
        <v>#REF!</v>
      </c>
      <c r="G137" s="120"/>
      <c r="H137" s="74"/>
      <c r="I137" s="74"/>
      <c r="J137" s="74"/>
      <c r="K137" s="74"/>
      <c r="L137" s="74"/>
      <c r="P137" s="22"/>
      <c r="Q137" s="89" t="s">
        <v>144</v>
      </c>
      <c r="R137" s="74"/>
      <c r="S137" s="74"/>
      <c r="T137" s="74"/>
      <c r="U137" s="74" t="e">
        <f>F89*1000/(F114/1000)</f>
        <v>#REF!</v>
      </c>
      <c r="V137" s="120"/>
      <c r="W137" s="74"/>
      <c r="X137" s="74"/>
      <c r="Y137" s="74"/>
      <c r="Z137" s="74"/>
      <c r="AA137" s="74"/>
    </row>
    <row r="138" spans="1:28" x14ac:dyDescent="0.25">
      <c r="A138" s="22"/>
      <c r="C138" s="74"/>
      <c r="D138" s="74"/>
      <c r="E138" s="74"/>
      <c r="F138" s="74"/>
      <c r="G138" s="74"/>
      <c r="H138" s="74"/>
      <c r="I138" s="74"/>
      <c r="J138" s="74"/>
      <c r="K138" s="74"/>
      <c r="L138" s="74"/>
      <c r="P138" s="22"/>
      <c r="R138" s="74"/>
      <c r="S138" s="74"/>
      <c r="T138" s="74"/>
      <c r="U138" s="74"/>
      <c r="V138" s="74"/>
      <c r="W138" s="74"/>
      <c r="X138" s="74"/>
      <c r="Y138" s="74"/>
      <c r="Z138" s="74"/>
      <c r="AA138" s="74"/>
    </row>
    <row r="139" spans="1:28" x14ac:dyDescent="0.25">
      <c r="A139" s="22"/>
      <c r="B139" s="28" t="s">
        <v>18</v>
      </c>
      <c r="C139" s="74"/>
      <c r="D139" s="74"/>
      <c r="E139" s="74" t="e">
        <f>E91*1000/(E116/1000)</f>
        <v>#REF!</v>
      </c>
      <c r="F139" s="424" t="e">
        <f>F91*1000/(F116/1000)*R122</f>
        <v>#REF!</v>
      </c>
      <c r="G139" s="424" t="e">
        <f>G91*1000/(G116/1000)*S122</f>
        <v>#REF!</v>
      </c>
      <c r="H139" s="74"/>
      <c r="I139" s="74" t="e">
        <f>I91*1000/(I116/1000)</f>
        <v>#REF!</v>
      </c>
      <c r="J139" s="74"/>
      <c r="K139" s="74"/>
      <c r="L139" s="74"/>
      <c r="M139" s="74"/>
      <c r="P139" s="22"/>
      <c r="Q139" s="28" t="s">
        <v>18</v>
      </c>
      <c r="R139" s="74"/>
      <c r="S139" s="74"/>
      <c r="T139" s="74" t="e">
        <f>E91*1000/(E116/1000)</f>
        <v>#REF!</v>
      </c>
      <c r="U139" s="74" t="e">
        <f>F91*1000/(F116/1000)</f>
        <v>#REF!</v>
      </c>
      <c r="V139" s="74" t="e">
        <f>G91*1000/(G116/1000)</f>
        <v>#REF!</v>
      </c>
      <c r="W139" s="74"/>
      <c r="X139" s="74" t="e">
        <f>I91*1000/(I116/1000)</f>
        <v>#REF!</v>
      </c>
      <c r="Y139" s="74"/>
      <c r="Z139" s="74"/>
      <c r="AA139" s="74"/>
    </row>
    <row r="140" spans="1:28" x14ac:dyDescent="0.25">
      <c r="A140" s="22"/>
      <c r="B140" s="77" t="s">
        <v>72</v>
      </c>
      <c r="C140" s="74"/>
      <c r="D140" s="74"/>
      <c r="E140" s="424" t="e">
        <f>E92*1000/(E117/1000)*Q122</f>
        <v>#REF!</v>
      </c>
      <c r="F140" s="74"/>
      <c r="G140" s="74"/>
      <c r="H140" s="74" t="e">
        <f>H92*1000/(H117/1000)</f>
        <v>#REF!</v>
      </c>
      <c r="I140" s="74"/>
      <c r="J140" s="74"/>
      <c r="K140" s="74"/>
      <c r="L140" s="74"/>
      <c r="P140" s="22"/>
      <c r="Q140" s="77" t="s">
        <v>72</v>
      </c>
      <c r="R140" s="74"/>
      <c r="S140" s="74"/>
      <c r="T140" s="74" t="e">
        <f>E92*1000/(E117/1000)</f>
        <v>#REF!</v>
      </c>
      <c r="U140" s="74"/>
      <c r="V140" s="74"/>
      <c r="W140" s="74" t="e">
        <f>H92*1000/(H117/1000)</f>
        <v>#REF!</v>
      </c>
      <c r="X140" s="74"/>
      <c r="Y140" s="74"/>
      <c r="Z140" s="74"/>
      <c r="AA140" s="74"/>
      <c r="AB140" s="74"/>
    </row>
    <row r="141" spans="1:28" x14ac:dyDescent="0.25">
      <c r="A141" s="22"/>
      <c r="B141" s="77" t="s">
        <v>73</v>
      </c>
      <c r="C141" s="74"/>
      <c r="D141" s="74"/>
      <c r="E141" s="424" t="e">
        <f>E93*1000/(E118/1000)*Q122</f>
        <v>#REF!</v>
      </c>
      <c r="F141" s="74"/>
      <c r="G141" s="74"/>
      <c r="H141" s="74" t="e">
        <f>H93*1000/(H118/1000)</f>
        <v>#REF!</v>
      </c>
      <c r="I141" s="74"/>
      <c r="J141" s="74"/>
      <c r="K141" s="74"/>
      <c r="L141" s="74"/>
      <c r="P141" s="22"/>
      <c r="Q141" s="77" t="s">
        <v>73</v>
      </c>
      <c r="R141" s="74"/>
      <c r="S141" s="74"/>
      <c r="T141" s="74" t="e">
        <f>E93*1000/(E118/1000)</f>
        <v>#REF!</v>
      </c>
      <c r="U141" s="74"/>
      <c r="V141" s="74"/>
      <c r="W141" s="74" t="e">
        <f>H93*1000/(H118/1000)</f>
        <v>#REF!</v>
      </c>
      <c r="X141" s="74"/>
      <c r="Y141" s="74"/>
      <c r="Z141" s="74"/>
      <c r="AA141" s="74"/>
    </row>
    <row r="142" spans="1:28" x14ac:dyDescent="0.25">
      <c r="A142" s="22"/>
      <c r="C142" s="74"/>
      <c r="D142" s="74"/>
      <c r="E142" s="74"/>
      <c r="F142" s="74"/>
      <c r="G142" s="74"/>
      <c r="H142" s="74"/>
      <c r="I142" s="74"/>
      <c r="J142" s="74"/>
      <c r="K142" s="74"/>
      <c r="L142" s="74"/>
      <c r="P142" s="22"/>
      <c r="R142" s="74"/>
      <c r="S142" s="74"/>
      <c r="T142" s="74"/>
      <c r="U142" s="74"/>
      <c r="V142" s="74"/>
      <c r="W142" s="74"/>
      <c r="X142" s="74"/>
      <c r="Y142" s="74"/>
      <c r="Z142" s="74"/>
      <c r="AA142" s="74"/>
    </row>
    <row r="143" spans="1:28" x14ac:dyDescent="0.25">
      <c r="A143" s="22"/>
      <c r="B143" s="13" t="s">
        <v>98</v>
      </c>
      <c r="C143" s="74"/>
      <c r="D143" s="74"/>
      <c r="E143" s="425" t="e">
        <f>E98*1000/(E122/1000)*Q122</f>
        <v>#REF!</v>
      </c>
      <c r="F143" s="425" t="e">
        <f>F98*1000/(F122/1000)*R122</f>
        <v>#REF!</v>
      </c>
      <c r="G143" s="425" t="e">
        <f>G98*1000/(G122/1000)*S122</f>
        <v>#REF!</v>
      </c>
      <c r="H143" s="80" t="e">
        <f>H98*1000/(H122/1000)</f>
        <v>#REF!</v>
      </c>
      <c r="I143" s="80" t="e">
        <f>I98*1000/(I122/1000)</f>
        <v>#REF!</v>
      </c>
      <c r="J143" s="74"/>
      <c r="K143" s="74"/>
      <c r="L143" s="74"/>
      <c r="M143" s="74"/>
      <c r="P143" s="22"/>
      <c r="Q143" s="13" t="s">
        <v>98</v>
      </c>
      <c r="R143" s="74"/>
      <c r="S143" s="74"/>
      <c r="T143" s="74" t="e">
        <f>E98*1000/(E122/1000)</f>
        <v>#REF!</v>
      </c>
      <c r="U143" s="74" t="e">
        <f>F98*1000/(F122/1000)</f>
        <v>#REF!</v>
      </c>
      <c r="V143" s="74" t="e">
        <f>G98*1000/(G122/1000)</f>
        <v>#REF!</v>
      </c>
      <c r="W143" s="74" t="e">
        <f>H98*1000/(H122/1000)</f>
        <v>#REF!</v>
      </c>
      <c r="X143" s="74" t="e">
        <f>I98*1000/(I122/1000)</f>
        <v>#REF!</v>
      </c>
      <c r="Y143" s="74"/>
      <c r="Z143" s="74"/>
      <c r="AA143" s="74"/>
    </row>
    <row r="144" spans="1:28" x14ac:dyDescent="0.25">
      <c r="A144" s="22"/>
      <c r="C144" s="74"/>
      <c r="D144" s="74"/>
      <c r="E144" s="74"/>
      <c r="F144" s="74"/>
      <c r="G144" s="74"/>
      <c r="H144" s="74"/>
      <c r="I144" s="74"/>
      <c r="J144" s="74"/>
      <c r="K144" s="74"/>
      <c r="L144" s="74"/>
      <c r="M144" s="74"/>
      <c r="P144" s="22"/>
      <c r="R144" s="74"/>
      <c r="S144" s="74"/>
      <c r="T144" s="451" t="e">
        <f>E143/T143</f>
        <v>#REF!</v>
      </c>
      <c r="U144" s="451" t="e">
        <f>F143/U143</f>
        <v>#REF!</v>
      </c>
      <c r="V144" s="451" t="e">
        <f>G143/V143</f>
        <v>#REF!</v>
      </c>
      <c r="W144" s="452" t="s">
        <v>422</v>
      </c>
      <c r="X144" s="452"/>
      <c r="Y144" s="74"/>
      <c r="Z144" s="74"/>
      <c r="AA144" s="74"/>
      <c r="AB144" s="74"/>
    </row>
    <row r="145" spans="1:29" x14ac:dyDescent="0.25">
      <c r="A145" s="22"/>
      <c r="B145" s="16" t="s">
        <v>99</v>
      </c>
      <c r="P145" s="22"/>
      <c r="Q145" s="16"/>
      <c r="T145" s="453"/>
      <c r="U145" s="453"/>
      <c r="V145" s="453"/>
      <c r="W145" s="453"/>
      <c r="X145" s="453"/>
      <c r="AA145" s="74"/>
      <c r="AB145" s="74"/>
    </row>
    <row r="146" spans="1:29" x14ac:dyDescent="0.25">
      <c r="A146" s="22"/>
      <c r="B146" s="17" t="s">
        <v>100</v>
      </c>
      <c r="P146" s="22"/>
      <c r="Q146" s="17"/>
    </row>
    <row r="147" spans="1:29" x14ac:dyDescent="0.25">
      <c r="A147" s="22"/>
      <c r="B147" s="17" t="s">
        <v>21</v>
      </c>
      <c r="P147" s="47"/>
      <c r="Q147" s="47"/>
      <c r="R147" s="426"/>
      <c r="S147" s="426"/>
      <c r="T147" s="47"/>
      <c r="U147" s="47"/>
      <c r="V147" s="47"/>
      <c r="W147" s="47"/>
      <c r="X147" s="47"/>
      <c r="Y147" s="47"/>
      <c r="Z147" s="47"/>
    </row>
    <row r="148" spans="1:29" x14ac:dyDescent="0.25">
      <c r="A148" s="22"/>
      <c r="B148" s="77"/>
      <c r="C148" s="74"/>
      <c r="D148" s="74"/>
      <c r="I148" s="89"/>
      <c r="J148" s="80"/>
      <c r="K148" s="80"/>
      <c r="L148" s="80"/>
      <c r="M148" s="93"/>
      <c r="P148" s="47"/>
      <c r="Q148" s="427"/>
      <c r="R148" s="428"/>
      <c r="S148" s="428"/>
      <c r="T148" s="226"/>
      <c r="U148" s="226"/>
      <c r="V148" s="47"/>
      <c r="W148" s="47"/>
      <c r="X148" s="114"/>
      <c r="Y148" s="429"/>
      <c r="Z148" s="429"/>
    </row>
    <row r="149" spans="1:29" x14ac:dyDescent="0.25">
      <c r="A149" s="22"/>
      <c r="C149" s="74"/>
      <c r="D149" s="74"/>
      <c r="P149" s="47"/>
      <c r="Q149" s="226"/>
      <c r="R149" s="428"/>
      <c r="S149" s="428"/>
      <c r="T149" s="226"/>
      <c r="U149" s="226"/>
      <c r="V149" s="226"/>
      <c r="W149" s="226"/>
      <c r="X149" s="226"/>
      <c r="Y149" s="226"/>
      <c r="Z149" s="226"/>
      <c r="AA149" s="80"/>
      <c r="AB149" s="93"/>
    </row>
    <row r="150" spans="1:29" x14ac:dyDescent="0.25">
      <c r="A150" s="22"/>
      <c r="B150" s="37" t="s">
        <v>101</v>
      </c>
      <c r="C150" s="74"/>
      <c r="D150" s="74"/>
      <c r="I150" s="96"/>
      <c r="M150" s="93"/>
      <c r="P150" s="47"/>
      <c r="Q150" s="430"/>
      <c r="R150" s="428"/>
      <c r="S150" s="428"/>
      <c r="T150" s="226"/>
      <c r="U150" s="226"/>
      <c r="V150" s="226"/>
      <c r="W150" s="226"/>
      <c r="X150" s="226"/>
      <c r="Y150" s="226"/>
      <c r="Z150" s="226"/>
    </row>
    <row r="151" spans="1:29" x14ac:dyDescent="0.25">
      <c r="A151" s="22"/>
      <c r="B151" s="77"/>
      <c r="C151" s="74"/>
      <c r="D151" s="74"/>
      <c r="I151" s="89"/>
      <c r="J151" s="97"/>
      <c r="K151" s="97"/>
      <c r="L151" s="97"/>
      <c r="M151" s="93"/>
      <c r="P151" s="47"/>
      <c r="Q151" s="427"/>
      <c r="R151" s="428"/>
      <c r="S151" s="428"/>
      <c r="T151" s="226"/>
      <c r="U151" s="226"/>
      <c r="V151" s="226"/>
      <c r="W151" s="226"/>
      <c r="X151" s="226"/>
      <c r="Y151" s="226"/>
      <c r="Z151" s="226"/>
      <c r="AB151" s="93"/>
    </row>
    <row r="152" spans="1:29" x14ac:dyDescent="0.25">
      <c r="A152" s="22"/>
      <c r="B152" s="16" t="s">
        <v>102</v>
      </c>
      <c r="C152" s="74"/>
      <c r="D152" s="74"/>
      <c r="P152" s="47"/>
      <c r="Q152" s="427"/>
      <c r="R152" s="428"/>
      <c r="S152" s="428"/>
      <c r="T152" s="226"/>
      <c r="U152" s="226"/>
      <c r="V152" s="226"/>
      <c r="W152" s="226"/>
      <c r="X152" s="226"/>
      <c r="Y152" s="226"/>
      <c r="Z152" s="226"/>
    </row>
    <row r="153" spans="1:29" x14ac:dyDescent="0.25">
      <c r="A153" s="22"/>
      <c r="B153" s="89" t="s">
        <v>103</v>
      </c>
      <c r="C153" s="84" t="e">
        <f>J98</f>
        <v>#REF!</v>
      </c>
      <c r="G153" s="81"/>
      <c r="P153" s="47"/>
      <c r="Q153" s="427"/>
      <c r="R153" s="428"/>
      <c r="S153" s="428"/>
      <c r="T153" s="226"/>
      <c r="U153" s="226"/>
      <c r="V153" s="226"/>
      <c r="W153" s="226"/>
      <c r="X153" s="226"/>
      <c r="Y153" s="226"/>
      <c r="Z153" s="226"/>
    </row>
    <row r="154" spans="1:29" x14ac:dyDescent="0.25">
      <c r="A154" s="22"/>
      <c r="C154" s="89" t="s">
        <v>104</v>
      </c>
      <c r="D154" s="95" t="e">
        <f>+C153/SUMPRODUCT('BGS PTY16 Cost Alloc'!E72:I72,'BGS PTY16 Cost Alloc'!E95:I95)*1000</f>
        <v>#REF!</v>
      </c>
      <c r="E154" s="13" t="s">
        <v>105</v>
      </c>
      <c r="I154" s="13" t="s">
        <v>256</v>
      </c>
      <c r="P154" s="47"/>
      <c r="Q154" s="427"/>
      <c r="R154" s="428"/>
      <c r="S154" s="428"/>
      <c r="T154" s="226"/>
      <c r="U154" s="226"/>
      <c r="V154" s="226"/>
      <c r="W154" s="226"/>
      <c r="X154" s="226"/>
      <c r="Y154" s="226"/>
      <c r="Z154" s="226"/>
    </row>
    <row r="155" spans="1:29" x14ac:dyDescent="0.25">
      <c r="A155" s="22"/>
      <c r="B155" s="242"/>
      <c r="C155" s="249" t="s">
        <v>271</v>
      </c>
      <c r="D155" s="250" t="e">
        <f>C153/SUMPRODUCT('BGS PTY16 Cost Alloc'!E72:I72,'BGS PTY16 Cost Alloc'!E98:I98)*1000</f>
        <v>#REF!</v>
      </c>
      <c r="E155" s="242" t="s">
        <v>269</v>
      </c>
      <c r="F155" s="242"/>
      <c r="G155" s="242"/>
      <c r="H155" s="242"/>
      <c r="I155" s="242"/>
      <c r="J155" s="252"/>
      <c r="K155" s="252"/>
      <c r="L155" s="252"/>
      <c r="Q155" s="242"/>
      <c r="R155" s="249"/>
      <c r="S155" s="250"/>
      <c r="T155" s="242"/>
      <c r="U155" s="242"/>
      <c r="V155" s="242"/>
      <c r="W155" s="242"/>
      <c r="X155" s="242"/>
      <c r="Y155" s="252"/>
      <c r="Z155" s="252"/>
    </row>
    <row r="156" spans="1:29" ht="15.6" x14ac:dyDescent="0.3">
      <c r="A156" s="22"/>
      <c r="B156" s="534" t="str">
        <f>$B$1</f>
        <v xml:space="preserve">Jersey Central Power &amp; Light </v>
      </c>
      <c r="C156" s="534"/>
      <c r="D156" s="534"/>
      <c r="E156" s="534"/>
      <c r="F156" s="534"/>
      <c r="G156" s="534"/>
      <c r="H156" s="534"/>
      <c r="I156" s="534"/>
      <c r="J156" s="534"/>
      <c r="K156" s="534"/>
      <c r="L156" s="534"/>
      <c r="M156" s="534"/>
      <c r="N156" s="534"/>
      <c r="P156" s="22"/>
      <c r="Q156" s="465" t="s">
        <v>256</v>
      </c>
      <c r="R156" s="465"/>
      <c r="S156" s="465"/>
      <c r="T156" s="465"/>
      <c r="U156" s="465"/>
      <c r="V156" s="465"/>
      <c r="W156" s="465"/>
      <c r="X156" s="465"/>
      <c r="Y156" s="465"/>
      <c r="Z156" s="465"/>
      <c r="AA156" s="252"/>
    </row>
    <row r="157" spans="1:29" ht="15.6" x14ac:dyDescent="0.3">
      <c r="A157" s="22"/>
      <c r="B157" s="534" t="str">
        <f>$B$2</f>
        <v>Attachment 2</v>
      </c>
      <c r="C157" s="534"/>
      <c r="D157" s="534"/>
      <c r="E157" s="534"/>
      <c r="F157" s="534"/>
      <c r="G157" s="534"/>
      <c r="H157" s="534"/>
      <c r="I157" s="534"/>
      <c r="J157" s="534"/>
      <c r="K157" s="534"/>
      <c r="L157" s="534"/>
      <c r="M157" s="534"/>
      <c r="N157" s="534"/>
      <c r="P157" s="22"/>
      <c r="Q157" s="465" t="s">
        <v>256</v>
      </c>
      <c r="R157" s="465"/>
      <c r="S157" s="465"/>
      <c r="T157" s="465"/>
      <c r="U157" s="465"/>
      <c r="V157" s="465"/>
      <c r="W157" s="465"/>
      <c r="X157" s="465"/>
      <c r="Y157" s="465"/>
      <c r="Z157" s="465"/>
      <c r="AA157" s="465"/>
      <c r="AB157" s="465"/>
      <c r="AC157" s="465"/>
    </row>
    <row r="158" spans="1:29" ht="15.6" x14ac:dyDescent="0.3">
      <c r="A158" s="22"/>
      <c r="B158" s="465"/>
      <c r="C158" s="465"/>
      <c r="D158" s="465"/>
      <c r="E158" s="465"/>
      <c r="F158" s="465"/>
      <c r="G158" s="465"/>
      <c r="H158" s="465"/>
      <c r="I158" s="465"/>
      <c r="J158" s="465"/>
      <c r="K158" s="465"/>
      <c r="L158" s="465"/>
      <c r="M158" s="465"/>
      <c r="N158" s="465"/>
      <c r="P158" s="22"/>
      <c r="Q158" s="465"/>
      <c r="R158" s="465"/>
      <c r="S158" s="465"/>
      <c r="T158" s="465"/>
      <c r="U158" s="465"/>
      <c r="V158" s="465"/>
      <c r="W158" s="465"/>
      <c r="X158" s="465"/>
      <c r="Y158" s="465"/>
      <c r="Z158" s="465"/>
      <c r="AA158" s="465"/>
      <c r="AB158" s="465"/>
      <c r="AC158" s="465"/>
    </row>
    <row r="159" spans="1:29" x14ac:dyDescent="0.25">
      <c r="A159" s="18" t="s">
        <v>263</v>
      </c>
      <c r="B159" s="248" t="s">
        <v>284</v>
      </c>
      <c r="C159" s="242"/>
      <c r="D159" s="242"/>
      <c r="E159" s="242"/>
      <c r="F159" s="242"/>
      <c r="G159" s="242"/>
      <c r="H159" s="242"/>
      <c r="I159" s="242"/>
      <c r="J159" s="16" t="s">
        <v>256</v>
      </c>
      <c r="K159" s="16"/>
      <c r="L159" s="16"/>
      <c r="M159" s="16"/>
      <c r="N159" s="16"/>
      <c r="P159" s="18" t="s">
        <v>263</v>
      </c>
      <c r="Q159" s="248" t="s">
        <v>284</v>
      </c>
      <c r="R159" s="242"/>
      <c r="S159" s="242"/>
      <c r="T159" s="242"/>
      <c r="U159" s="242"/>
      <c r="V159" s="242"/>
      <c r="W159" s="242"/>
      <c r="X159" s="242"/>
      <c r="Y159" s="16" t="s">
        <v>256</v>
      </c>
      <c r="Z159" s="16"/>
    </row>
    <row r="160" spans="1:29" x14ac:dyDescent="0.25">
      <c r="A160" s="22"/>
      <c r="B160" s="248"/>
      <c r="C160" s="242"/>
      <c r="D160" s="242"/>
      <c r="E160" s="242"/>
      <c r="F160" s="242"/>
      <c r="G160" s="242"/>
      <c r="H160" s="242"/>
      <c r="I160" s="242"/>
      <c r="P160" s="22"/>
      <c r="Q160" s="248"/>
      <c r="R160" s="242"/>
      <c r="S160" s="242"/>
      <c r="T160" s="242"/>
      <c r="U160" s="242"/>
      <c r="V160" s="242"/>
      <c r="W160" s="242"/>
      <c r="X160" s="242"/>
      <c r="AA160" s="16"/>
      <c r="AB160" s="16"/>
      <c r="AC160" s="16"/>
    </row>
    <row r="161" spans="1:29" x14ac:dyDescent="0.25">
      <c r="A161" s="22"/>
      <c r="B161" s="248" t="s">
        <v>97</v>
      </c>
      <c r="C161" s="242"/>
      <c r="D161" s="242"/>
      <c r="E161" s="242"/>
      <c r="F161" s="242"/>
      <c r="G161" s="242"/>
      <c r="H161" s="242"/>
      <c r="I161" s="242"/>
      <c r="P161" s="22"/>
      <c r="Q161" s="248" t="s">
        <v>97</v>
      </c>
      <c r="R161" s="242"/>
      <c r="S161" s="242"/>
      <c r="T161" s="242"/>
      <c r="U161" s="242"/>
      <c r="V161" s="242"/>
      <c r="W161" s="242"/>
      <c r="X161" s="242"/>
    </row>
    <row r="162" spans="1:29" x14ac:dyDescent="0.25">
      <c r="A162" s="22"/>
      <c r="B162" s="257" t="s">
        <v>250</v>
      </c>
      <c r="C162" s="242"/>
      <c r="D162" s="242"/>
      <c r="E162" s="242"/>
      <c r="F162" s="242"/>
      <c r="G162" s="242"/>
      <c r="H162" s="242"/>
      <c r="I162" s="242"/>
      <c r="P162" s="22"/>
      <c r="Q162" s="257" t="s">
        <v>250</v>
      </c>
      <c r="R162" s="242"/>
      <c r="S162" s="242"/>
      <c r="T162" s="242"/>
      <c r="U162" s="242"/>
      <c r="V162" s="242"/>
      <c r="W162" s="242"/>
      <c r="X162" s="242"/>
    </row>
    <row r="163" spans="1:29" x14ac:dyDescent="0.25">
      <c r="A163" s="22"/>
      <c r="B163" s="248"/>
      <c r="C163" s="242"/>
      <c r="D163" s="242"/>
      <c r="E163" s="242"/>
      <c r="F163" s="242"/>
      <c r="G163" s="242"/>
      <c r="H163" s="242"/>
      <c r="I163" s="242"/>
      <c r="P163" s="22"/>
      <c r="Q163" s="248"/>
      <c r="R163" s="242"/>
      <c r="S163" s="242"/>
      <c r="T163" s="242"/>
      <c r="U163" s="242"/>
      <c r="V163" s="242"/>
      <c r="W163" s="242"/>
      <c r="X163" s="242"/>
    </row>
    <row r="164" spans="1:29" x14ac:dyDescent="0.25">
      <c r="A164" s="22"/>
      <c r="B164" s="242"/>
      <c r="C164" s="245"/>
      <c r="D164" s="245"/>
      <c r="E164" s="245" t="str">
        <f>+E$10</f>
        <v>RT{1}</v>
      </c>
      <c r="F164" s="245" t="str">
        <f>+F$10</f>
        <v>RS{2}</v>
      </c>
      <c r="G164" s="245" t="str">
        <f>+G$10</f>
        <v>GS{3}</v>
      </c>
      <c r="H164" s="245" t="str">
        <f>+H$10</f>
        <v>GST {4}</v>
      </c>
      <c r="I164" s="245" t="str">
        <f>+I$10</f>
        <v>OL/SL</v>
      </c>
      <c r="J164" s="26"/>
      <c r="K164" s="26"/>
      <c r="L164" s="26"/>
      <c r="M164" s="26"/>
      <c r="N164" s="26"/>
      <c r="P164" s="22"/>
      <c r="Q164" s="242"/>
      <c r="R164" s="245"/>
      <c r="S164" s="245"/>
      <c r="T164" s="245" t="str">
        <f>+E$10</f>
        <v>RT{1}</v>
      </c>
      <c r="U164" s="245" t="str">
        <f>+F$10</f>
        <v>RS{2}</v>
      </c>
      <c r="V164" s="245" t="str">
        <f>+G$10</f>
        <v>GS{3}</v>
      </c>
      <c r="W164" s="245" t="str">
        <f>+H$10</f>
        <v>GST {4}</v>
      </c>
      <c r="X164" s="245" t="str">
        <f>+I$10</f>
        <v>OL/SL</v>
      </c>
      <c r="Y164" s="26"/>
      <c r="Z164" s="26"/>
    </row>
    <row r="165" spans="1:29" x14ac:dyDescent="0.25">
      <c r="A165" s="22"/>
      <c r="B165" s="242"/>
      <c r="C165" s="245"/>
      <c r="D165" s="245"/>
      <c r="E165" s="245"/>
      <c r="F165" s="245"/>
      <c r="G165" s="245"/>
      <c r="H165" s="242"/>
      <c r="I165" s="242"/>
      <c r="P165" s="22"/>
      <c r="Q165" s="242"/>
      <c r="R165" s="245"/>
      <c r="S165" s="245"/>
      <c r="T165" s="245"/>
      <c r="U165" s="245"/>
      <c r="V165" s="245"/>
      <c r="W165" s="242"/>
      <c r="X165" s="242"/>
      <c r="AA165" s="26"/>
      <c r="AB165" s="26"/>
      <c r="AC165" s="26"/>
    </row>
    <row r="166" spans="1:29" x14ac:dyDescent="0.25">
      <c r="A166" s="22"/>
      <c r="B166" s="258" t="s">
        <v>17</v>
      </c>
      <c r="C166" s="259"/>
      <c r="D166" s="259"/>
      <c r="E166" s="260" t="e">
        <f>+ROUND(E133/$D$155,3)</f>
        <v>#REF!</v>
      </c>
      <c r="F166" s="431" t="e">
        <f>ROUND((F88+F89)*R122*1000000/(F113+F114)/D155,3)</f>
        <v>#REF!</v>
      </c>
      <c r="G166" s="260" t="e">
        <f>+ROUND(G133/$D$155,3)</f>
        <v>#REF!</v>
      </c>
      <c r="H166" s="260"/>
      <c r="I166" s="260" t="e">
        <f>+ROUND(I133/$D$155,3)</f>
        <v>#REF!</v>
      </c>
      <c r="J166" s="98"/>
      <c r="K166" s="98"/>
      <c r="L166" s="98"/>
      <c r="M166" s="98"/>
      <c r="N166" s="98"/>
      <c r="P166" s="22"/>
      <c r="Q166" s="258" t="s">
        <v>17</v>
      </c>
      <c r="R166" s="259"/>
      <c r="S166" s="259"/>
      <c r="T166" s="260" t="e">
        <f>+ROUND(T133/$D$155,3)</f>
        <v>#REF!</v>
      </c>
      <c r="U166" s="260" t="e">
        <f>ROUND((F88+F89)*1000000/(F113+F114)/D155,3)</f>
        <v>#REF!</v>
      </c>
      <c r="V166" s="260" t="e">
        <f>+ROUND(V133/$D$155,3)</f>
        <v>#REF!</v>
      </c>
      <c r="W166" s="260"/>
      <c r="X166" s="260" t="e">
        <f>+ROUND(X133/$D$155,3)</f>
        <v>#REF!</v>
      </c>
      <c r="Y166" s="98"/>
      <c r="Z166" s="98"/>
    </row>
    <row r="167" spans="1:29" x14ac:dyDescent="0.25">
      <c r="A167" s="22"/>
      <c r="B167" s="261" t="s">
        <v>72</v>
      </c>
      <c r="C167" s="262"/>
      <c r="D167" s="262"/>
      <c r="E167" s="260" t="e">
        <f>+ROUND(E134/$D$155,3)</f>
        <v>#REF!</v>
      </c>
      <c r="F167" s="263"/>
      <c r="G167" s="263"/>
      <c r="H167" s="260" t="e">
        <f>+ROUND(H134/$D$155,3)</f>
        <v>#REF!</v>
      </c>
      <c r="I167" s="263"/>
      <c r="J167" s="100"/>
      <c r="K167" s="100"/>
      <c r="L167" s="100"/>
      <c r="M167" s="100"/>
      <c r="N167" s="100"/>
      <c r="P167" s="22"/>
      <c r="Q167" s="261" t="s">
        <v>72</v>
      </c>
      <c r="R167" s="262"/>
      <c r="S167" s="262"/>
      <c r="T167" s="260" t="e">
        <f>+ROUND(T134/$D$155,3)</f>
        <v>#REF!</v>
      </c>
      <c r="U167" s="263"/>
      <c r="V167" s="263"/>
      <c r="W167" s="260" t="e">
        <f>+ROUND(W134/$D$155,3)</f>
        <v>#REF!</v>
      </c>
      <c r="X167" s="263"/>
      <c r="Y167" s="100"/>
      <c r="Z167" s="100"/>
      <c r="AA167" s="98"/>
      <c r="AB167" s="98"/>
      <c r="AC167" s="98"/>
    </row>
    <row r="168" spans="1:29" x14ac:dyDescent="0.25">
      <c r="A168" s="22"/>
      <c r="B168" s="261" t="s">
        <v>73</v>
      </c>
      <c r="C168" s="262"/>
      <c r="D168" s="262"/>
      <c r="E168" s="260" t="e">
        <f>+ROUND(E135/$D$155,3)</f>
        <v>#REF!</v>
      </c>
      <c r="F168" s="263"/>
      <c r="G168" s="263"/>
      <c r="H168" s="260" t="e">
        <f>+ROUND(H135/$D$155,3)</f>
        <v>#REF!</v>
      </c>
      <c r="I168" s="263"/>
      <c r="J168" s="100"/>
      <c r="K168" s="100"/>
      <c r="L168" s="100"/>
      <c r="M168" s="100"/>
      <c r="N168" s="100"/>
      <c r="O168" s="125" t="e">
        <f>(F88+F89)*1000000/(F113+F114)</f>
        <v>#REF!</v>
      </c>
      <c r="P168" s="22"/>
      <c r="Q168" s="261" t="s">
        <v>73</v>
      </c>
      <c r="R168" s="262"/>
      <c r="S168" s="262"/>
      <c r="T168" s="260" t="e">
        <f>+ROUND(T135/$D$155,3)</f>
        <v>#REF!</v>
      </c>
      <c r="U168" s="263"/>
      <c r="V168" s="263"/>
      <c r="W168" s="260" t="e">
        <f>+ROUND(W135/$D$155,3)</f>
        <v>#REF!</v>
      </c>
      <c r="X168" s="263"/>
      <c r="Y168" s="100"/>
      <c r="Z168" s="125"/>
      <c r="AA168" s="100"/>
      <c r="AB168" s="100"/>
      <c r="AC168" s="100"/>
    </row>
    <row r="169" spans="1:29" x14ac:dyDescent="0.25">
      <c r="A169" s="22"/>
      <c r="B169" s="77"/>
      <c r="C169" s="100"/>
      <c r="D169" s="100"/>
      <c r="E169" s="124"/>
      <c r="G169" s="125"/>
      <c r="H169" s="124"/>
      <c r="I169" s="125"/>
      <c r="K169" s="125"/>
      <c r="L169" s="125"/>
      <c r="M169" s="125"/>
      <c r="N169" s="125"/>
      <c r="O169" s="125" t="e">
        <f>F88*1000000/F113</f>
        <v>#REF!</v>
      </c>
      <c r="P169" s="22"/>
      <c r="Q169" s="77"/>
      <c r="R169" s="100"/>
      <c r="S169" s="100"/>
      <c r="T169" s="124"/>
      <c r="V169" s="125"/>
      <c r="W169" s="124"/>
      <c r="X169" s="125"/>
      <c r="Z169" s="125"/>
      <c r="AA169" s="100"/>
      <c r="AB169" s="100"/>
      <c r="AC169" s="100"/>
    </row>
    <row r="170" spans="1:29" x14ac:dyDescent="0.25">
      <c r="A170" s="22"/>
      <c r="B170" s="77"/>
      <c r="C170" s="100"/>
      <c r="D170" s="100"/>
      <c r="E170" s="124"/>
      <c r="G170" s="125"/>
      <c r="H170" s="124"/>
      <c r="I170" s="125"/>
      <c r="K170" s="125"/>
      <c r="L170" s="125"/>
      <c r="M170" s="125"/>
      <c r="N170" s="125"/>
      <c r="O170" s="125" t="e">
        <f>F89*1000000/F114</f>
        <v>#REF!</v>
      </c>
      <c r="P170" s="22"/>
      <c r="Q170" s="77"/>
      <c r="R170" s="100"/>
      <c r="S170" s="100"/>
      <c r="T170" s="124"/>
      <c r="V170" s="125"/>
      <c r="W170" s="124"/>
      <c r="X170" s="125"/>
      <c r="Z170" s="125"/>
      <c r="AA170" s="125"/>
      <c r="AB170" s="125"/>
      <c r="AC170" s="125"/>
    </row>
    <row r="171" spans="1:29" x14ac:dyDescent="0.25">
      <c r="A171" s="22"/>
      <c r="C171" s="113"/>
      <c r="D171" s="113"/>
      <c r="E171" s="126" t="s">
        <v>156</v>
      </c>
      <c r="F171" s="124" t="e">
        <f>ROUND(O169-O168,3)</f>
        <v>#REF!</v>
      </c>
      <c r="G171" s="125"/>
      <c r="H171" s="124"/>
      <c r="I171" s="125"/>
      <c r="J171" s="100"/>
      <c r="K171" s="100"/>
      <c r="L171" s="100"/>
      <c r="M171" s="100"/>
      <c r="N171" s="100"/>
      <c r="P171" s="22"/>
      <c r="R171" s="113"/>
      <c r="S171" s="113"/>
      <c r="T171" s="126" t="s">
        <v>156</v>
      </c>
      <c r="U171" s="124" t="e">
        <f>ROUND(O169-O168,3)</f>
        <v>#REF!</v>
      </c>
      <c r="V171" s="125"/>
      <c r="W171" s="124"/>
      <c r="X171" s="125"/>
      <c r="Y171" s="100"/>
      <c r="Z171" s="100"/>
      <c r="AA171" s="100"/>
      <c r="AB171" s="100"/>
      <c r="AC171" s="100"/>
    </row>
    <row r="172" spans="1:29" x14ac:dyDescent="0.25">
      <c r="A172" s="22"/>
      <c r="C172" s="113"/>
      <c r="D172" s="113"/>
      <c r="E172" s="126" t="s">
        <v>157</v>
      </c>
      <c r="F172" s="124" t="e">
        <f>ROUND(O170-O168,3)</f>
        <v>#REF!</v>
      </c>
      <c r="G172" s="125"/>
      <c r="H172" s="124"/>
      <c r="I172" s="125"/>
      <c r="J172" s="100"/>
      <c r="K172" s="100"/>
      <c r="L172" s="100"/>
      <c r="M172" s="100"/>
      <c r="N172" s="100"/>
      <c r="P172" s="22"/>
      <c r="R172" s="113"/>
      <c r="S172" s="113"/>
      <c r="T172" s="126" t="s">
        <v>157</v>
      </c>
      <c r="U172" s="124" t="e">
        <f>ROUND(O170-O168,3)</f>
        <v>#REF!</v>
      </c>
      <c r="V172" s="125"/>
      <c r="W172" s="124"/>
      <c r="X172" s="125"/>
      <c r="Y172" s="100"/>
      <c r="Z172" s="100"/>
      <c r="AA172" s="100"/>
      <c r="AB172" s="100"/>
      <c r="AC172" s="100"/>
    </row>
    <row r="173" spans="1:29" x14ac:dyDescent="0.25">
      <c r="A173" s="22"/>
      <c r="C173" s="100"/>
      <c r="D173" s="100"/>
      <c r="E173" s="125"/>
      <c r="F173" s="125"/>
      <c r="G173" s="125"/>
      <c r="H173" s="125"/>
      <c r="I173" s="125"/>
      <c r="J173" s="100"/>
      <c r="K173" s="100"/>
      <c r="L173" s="100"/>
      <c r="M173" s="100"/>
      <c r="N173" s="100"/>
      <c r="P173" s="22"/>
      <c r="R173" s="100"/>
      <c r="S173" s="100"/>
      <c r="T173" s="125"/>
      <c r="U173" s="125"/>
      <c r="V173" s="125"/>
      <c r="W173" s="125"/>
      <c r="X173" s="125"/>
      <c r="Y173" s="100"/>
      <c r="Z173" s="100"/>
      <c r="AA173" s="100"/>
      <c r="AB173" s="100"/>
      <c r="AC173" s="100"/>
    </row>
    <row r="174" spans="1:29" x14ac:dyDescent="0.25">
      <c r="A174" s="22"/>
      <c r="B174" s="258" t="s">
        <v>18</v>
      </c>
      <c r="C174" s="259"/>
      <c r="D174" s="259"/>
      <c r="E174" s="260" t="e">
        <f>ROUND(E139/$D$155,3)</f>
        <v>#REF!</v>
      </c>
      <c r="F174" s="260" t="e">
        <f>ROUND(F139/$D$155,3)</f>
        <v>#REF!</v>
      </c>
      <c r="G174" s="260" t="e">
        <f>ROUND(G139/$D$155,3)</f>
        <v>#REF!</v>
      </c>
      <c r="H174" s="260"/>
      <c r="I174" s="260" t="e">
        <f>ROUND(I139/$D$155,3)</f>
        <v>#REF!</v>
      </c>
      <c r="J174" s="98"/>
      <c r="K174" s="98"/>
      <c r="L174" s="98"/>
      <c r="M174" s="98"/>
      <c r="N174" s="98"/>
      <c r="P174" s="22"/>
      <c r="Q174" s="258" t="s">
        <v>18</v>
      </c>
      <c r="R174" s="259"/>
      <c r="S174" s="259"/>
      <c r="T174" s="260" t="e">
        <f>+ROUND(T139/$D$155,3)</f>
        <v>#REF!</v>
      </c>
      <c r="U174" s="260" t="e">
        <f>ROUND(U139/$D$155,3)</f>
        <v>#REF!</v>
      </c>
      <c r="V174" s="260" t="e">
        <f>ROUND(V139/$D$155,3)</f>
        <v>#REF!</v>
      </c>
      <c r="W174" s="260"/>
      <c r="X174" s="260" t="e">
        <f>ROUND(X139/$D$155,3)</f>
        <v>#REF!</v>
      </c>
      <c r="Y174" s="98"/>
      <c r="Z174" s="98"/>
      <c r="AA174" s="100"/>
      <c r="AB174" s="100"/>
      <c r="AC174" s="100"/>
    </row>
    <row r="175" spans="1:29" x14ac:dyDescent="0.25">
      <c r="A175" s="22"/>
      <c r="B175" s="261" t="s">
        <v>72</v>
      </c>
      <c r="C175" s="262"/>
      <c r="D175" s="262"/>
      <c r="E175" s="260" t="e">
        <f>ROUND(E140/$D$155,3)</f>
        <v>#REF!</v>
      </c>
      <c r="F175" s="263"/>
      <c r="G175" s="263"/>
      <c r="H175" s="260" t="e">
        <f>ROUND(H140/$D$155,3)</f>
        <v>#REF!</v>
      </c>
      <c r="I175" s="263"/>
      <c r="J175" s="100"/>
      <c r="K175" s="100"/>
      <c r="L175" s="100"/>
      <c r="M175" s="100"/>
      <c r="N175" s="100"/>
      <c r="P175" s="22"/>
      <c r="Q175" s="261" t="s">
        <v>72</v>
      </c>
      <c r="R175" s="262"/>
      <c r="S175" s="262"/>
      <c r="T175" s="260" t="e">
        <f>ROUND(T140/$D$155,3)</f>
        <v>#REF!</v>
      </c>
      <c r="U175" s="263"/>
      <c r="V175" s="263"/>
      <c r="W175" s="260" t="e">
        <f>ROUND(W140/$D$155,3)</f>
        <v>#REF!</v>
      </c>
      <c r="X175" s="263"/>
      <c r="Y175" s="100"/>
      <c r="Z175" s="100"/>
      <c r="AA175" s="98"/>
      <c r="AB175" s="98"/>
      <c r="AC175" s="98"/>
    </row>
    <row r="176" spans="1:29" x14ac:dyDescent="0.25">
      <c r="A176" s="22"/>
      <c r="B176" s="261" t="s">
        <v>73</v>
      </c>
      <c r="C176" s="262"/>
      <c r="D176" s="262"/>
      <c r="E176" s="260" t="e">
        <f>ROUND(E141/$D$155,3)</f>
        <v>#REF!</v>
      </c>
      <c r="F176" s="263"/>
      <c r="G176" s="263"/>
      <c r="H176" s="260" t="e">
        <f>ROUND(H141/$D$155,3)</f>
        <v>#REF!</v>
      </c>
      <c r="I176" s="263"/>
      <c r="J176" s="100"/>
      <c r="K176" s="100"/>
      <c r="L176" s="100"/>
      <c r="M176" s="100"/>
      <c r="N176" s="100"/>
      <c r="P176" s="22"/>
      <c r="Q176" s="261" t="s">
        <v>73</v>
      </c>
      <c r="R176" s="262"/>
      <c r="S176" s="262"/>
      <c r="T176" s="260" t="e">
        <f>ROUND(T141/$D$155,3)</f>
        <v>#REF!</v>
      </c>
      <c r="U176" s="263"/>
      <c r="V176" s="263"/>
      <c r="W176" s="260" t="e">
        <f>ROUND(W141/$D$155,3)</f>
        <v>#REF!</v>
      </c>
      <c r="X176" s="263"/>
      <c r="Y176" s="100"/>
      <c r="Z176" s="100"/>
      <c r="AA176" s="100"/>
      <c r="AB176" s="100"/>
      <c r="AC176" s="100"/>
    </row>
    <row r="177" spans="1:29" x14ac:dyDescent="0.25">
      <c r="A177" s="22"/>
      <c r="B177" s="242"/>
      <c r="C177" s="264"/>
      <c r="D177" s="264"/>
      <c r="E177" s="265"/>
      <c r="F177" s="265"/>
      <c r="G177" s="265"/>
      <c r="H177" s="265"/>
      <c r="I177" s="265"/>
      <c r="J177" s="99"/>
      <c r="K177" s="99"/>
      <c r="L177" s="99"/>
      <c r="M177" s="99"/>
      <c r="N177" s="99"/>
      <c r="P177" s="22"/>
      <c r="Q177" s="242"/>
      <c r="R177" s="264"/>
      <c r="S177" s="264"/>
      <c r="T177" s="265"/>
      <c r="U177" s="265"/>
      <c r="V177" s="265"/>
      <c r="W177" s="265"/>
      <c r="X177" s="265"/>
      <c r="Y177" s="99"/>
      <c r="Z177" s="99"/>
      <c r="AA177" s="100"/>
      <c r="AB177" s="100"/>
      <c r="AC177" s="100"/>
    </row>
    <row r="178" spans="1:29" x14ac:dyDescent="0.25">
      <c r="A178" s="22"/>
      <c r="B178" s="242" t="s">
        <v>107</v>
      </c>
      <c r="C178" s="264"/>
      <c r="D178" s="264"/>
      <c r="E178" s="266" t="e">
        <f>ROUND(E143/$D$155,3)</f>
        <v>#REF!</v>
      </c>
      <c r="F178" s="266" t="e">
        <f>ROUND(F143/$D$155,3)</f>
        <v>#REF!</v>
      </c>
      <c r="G178" s="266" t="e">
        <f>ROUND(G143/$D$155,3)</f>
        <v>#REF!</v>
      </c>
      <c r="H178" s="266" t="e">
        <f>ROUND(H143/$D$155,3)</f>
        <v>#REF!</v>
      </c>
      <c r="I178" s="266" t="e">
        <f>ROUND(I143/$D$155,3)</f>
        <v>#REF!</v>
      </c>
      <c r="J178" s="99"/>
      <c r="K178" s="99"/>
      <c r="L178" s="99"/>
      <c r="M178" s="99"/>
      <c r="N178" s="99"/>
      <c r="P178" s="22"/>
      <c r="Q178" s="242" t="s">
        <v>107</v>
      </c>
      <c r="R178" s="264"/>
      <c r="S178" s="264"/>
      <c r="T178" s="266" t="e">
        <f>ROUND(T143/$D$155,3)</f>
        <v>#REF!</v>
      </c>
      <c r="U178" s="266" t="e">
        <f>ROUND(U143/$D$155,3)</f>
        <v>#REF!</v>
      </c>
      <c r="V178" s="266" t="e">
        <f>ROUND(V143/$D$155,3)</f>
        <v>#REF!</v>
      </c>
      <c r="W178" s="266" t="e">
        <f>ROUND(W143/$D$155,3)</f>
        <v>#REF!</v>
      </c>
      <c r="X178" s="266" t="e">
        <f>ROUND(X143/$D$155,3)</f>
        <v>#REF!</v>
      </c>
      <c r="Y178" s="99"/>
      <c r="Z178" s="99"/>
      <c r="AA178" s="99"/>
      <c r="AB178" s="99"/>
      <c r="AC178" s="99"/>
    </row>
    <row r="179" spans="1:29" x14ac:dyDescent="0.25">
      <c r="A179" s="22"/>
      <c r="P179" s="22"/>
      <c r="AA179" s="99"/>
      <c r="AB179" s="99"/>
      <c r="AC179" s="99"/>
    </row>
    <row r="180" spans="1:29" x14ac:dyDescent="0.25">
      <c r="A180" s="22"/>
      <c r="P180" s="22"/>
    </row>
    <row r="181" spans="1:29" x14ac:dyDescent="0.25">
      <c r="A181" s="22"/>
      <c r="B181" s="16" t="s">
        <v>99</v>
      </c>
      <c r="P181" s="22"/>
      <c r="Q181" s="16" t="s">
        <v>99</v>
      </c>
    </row>
    <row r="182" spans="1:29" x14ac:dyDescent="0.25">
      <c r="A182" s="22"/>
      <c r="B182" s="17" t="s">
        <v>100</v>
      </c>
      <c r="P182" s="22"/>
      <c r="Q182" s="17" t="s">
        <v>100</v>
      </c>
    </row>
    <row r="183" spans="1:29" x14ac:dyDescent="0.25">
      <c r="A183" s="22"/>
      <c r="B183" s="21"/>
      <c r="P183" s="22"/>
      <c r="Q183" s="21"/>
    </row>
    <row r="184" spans="1:29" x14ac:dyDescent="0.25">
      <c r="A184" s="22"/>
      <c r="B184" s="37" t="s">
        <v>101</v>
      </c>
      <c r="C184" s="26"/>
      <c r="D184" s="26"/>
      <c r="E184" s="26"/>
      <c r="F184" s="26"/>
      <c r="I184" s="16"/>
      <c r="P184" s="22"/>
      <c r="Q184" s="37" t="s">
        <v>101</v>
      </c>
      <c r="R184" s="26"/>
      <c r="S184" s="26"/>
      <c r="T184" s="26"/>
      <c r="U184" s="26"/>
      <c r="X184" s="16"/>
    </row>
    <row r="185" spans="1:29" x14ac:dyDescent="0.25">
      <c r="A185" s="12" t="s">
        <v>256</v>
      </c>
      <c r="P185" s="12" t="s">
        <v>256</v>
      </c>
    </row>
    <row r="186" spans="1:29" x14ac:dyDescent="0.25">
      <c r="B186" s="406" t="s">
        <v>398</v>
      </c>
      <c r="E186" s="71" t="str">
        <f>E164</f>
        <v>RT{1}</v>
      </c>
      <c r="F186" s="71" t="str">
        <f t="shared" ref="F186:I186" si="1">F164</f>
        <v>RS{2}</v>
      </c>
      <c r="G186" s="71" t="str">
        <f t="shared" si="1"/>
        <v>GS{3}</v>
      </c>
      <c r="H186" s="71" t="str">
        <f t="shared" si="1"/>
        <v>GST {4}</v>
      </c>
      <c r="I186" s="71" t="str">
        <f t="shared" si="1"/>
        <v>OL/SL</v>
      </c>
      <c r="Q186" s="406" t="s">
        <v>395</v>
      </c>
      <c r="T186" s="71" t="str">
        <f>T164</f>
        <v>RT{1}</v>
      </c>
      <c r="U186" s="71" t="str">
        <f t="shared" ref="U186:X186" si="2">U164</f>
        <v>RS{2}</v>
      </c>
      <c r="V186" s="71" t="str">
        <f t="shared" si="2"/>
        <v>GS{3}</v>
      </c>
      <c r="W186" s="71" t="str">
        <f t="shared" si="2"/>
        <v>GST {4}</v>
      </c>
      <c r="X186" s="71" t="str">
        <f t="shared" si="2"/>
        <v>OL/SL</v>
      </c>
    </row>
    <row r="187" spans="1:29" x14ac:dyDescent="0.25">
      <c r="B187" s="258" t="s">
        <v>17</v>
      </c>
      <c r="E187" s="414" t="e">
        <f>ROUND(E166*#REF!/1000,6)</f>
        <v>#REF!</v>
      </c>
      <c r="G187" s="432" t="e">
        <f>ROUND(G166*#REF!/1000,6)</f>
        <v>#REF!</v>
      </c>
      <c r="H187" s="414"/>
      <c r="I187" s="414" t="e">
        <f>ROUND(I166*#REF!/1000,6)</f>
        <v>#REF!</v>
      </c>
      <c r="Q187" s="258" t="s">
        <v>17</v>
      </c>
      <c r="T187" s="414" t="e">
        <f>ROUND(T166*#REF!/1000,6)</f>
        <v>#REF!</v>
      </c>
      <c r="V187" s="414" t="e">
        <f>ROUND(V166*#REF!/1000,6)</f>
        <v>#REF!</v>
      </c>
      <c r="W187" s="414"/>
      <c r="X187" s="414" t="e">
        <f>ROUND(X166*#REF!/1000,6)</f>
        <v>#REF!</v>
      </c>
    </row>
    <row r="188" spans="1:29" x14ac:dyDescent="0.25">
      <c r="B188" s="261" t="s">
        <v>72</v>
      </c>
      <c r="E188" s="432" t="e">
        <f>ROUND(E167*#REF!/1000,6)</f>
        <v>#REF!</v>
      </c>
      <c r="F188" s="432" t="e">
        <f>ROUND(F166*#REF!/1000,6)+'Composite 4yr Cong'!F171/1000</f>
        <v>#REF!</v>
      </c>
      <c r="H188" s="414" t="e">
        <f>ROUND(H167*#REF!/1000,6)</f>
        <v>#REF!</v>
      </c>
      <c r="Q188" s="261" t="s">
        <v>72</v>
      </c>
      <c r="T188" s="414" t="e">
        <f>ROUND(T167*#REF!/1000,6)</f>
        <v>#REF!</v>
      </c>
      <c r="U188" s="414" t="e">
        <f>ROUND(U166*#REF!/1000,6)+'Composite 4yr Cong'!U171/1000</f>
        <v>#REF!</v>
      </c>
      <c r="W188" s="414" t="e">
        <f>ROUND(W167*#REF!/1000,6)</f>
        <v>#REF!</v>
      </c>
    </row>
    <row r="189" spans="1:29" x14ac:dyDescent="0.25">
      <c r="B189" s="261" t="s">
        <v>73</v>
      </c>
      <c r="E189" s="432" t="e">
        <f>ROUND(E168*#REF!/1000,6)</f>
        <v>#REF!</v>
      </c>
      <c r="F189" s="432" t="e">
        <f>ROUND(F166*#REF!/1000,6)+'Composite 4yr Cong'!F172/1000</f>
        <v>#REF!</v>
      </c>
      <c r="H189" s="414" t="e">
        <f>ROUND(H168*#REF!/1000,6)</f>
        <v>#REF!</v>
      </c>
      <c r="Q189" s="261" t="s">
        <v>73</v>
      </c>
      <c r="T189" s="414" t="e">
        <f>ROUND(T168*#REF!/1000,6)</f>
        <v>#REF!</v>
      </c>
      <c r="U189" s="414" t="e">
        <f>ROUND(U166*#REF!/1000,6)+'Composite 4yr Cong'!U172/1000</f>
        <v>#REF!</v>
      </c>
      <c r="W189" s="414" t="e">
        <f>ROUND(W168*#REF!/1000,6)</f>
        <v>#REF!</v>
      </c>
    </row>
    <row r="190" spans="1:29" x14ac:dyDescent="0.25">
      <c r="B190" s="258" t="s">
        <v>18</v>
      </c>
      <c r="E190" s="414" t="e">
        <f>ROUND(E174*#REF!/1000,6)</f>
        <v>#REF!</v>
      </c>
      <c r="F190" s="432" t="e">
        <f>ROUND(F174*#REF!/1000,6)</f>
        <v>#REF!</v>
      </c>
      <c r="G190" s="432" t="e">
        <f>ROUND(G174*#REF!/1000,6)</f>
        <v>#REF!</v>
      </c>
      <c r="I190" s="414" t="e">
        <f>ROUND(I174*#REF!/1000,6)</f>
        <v>#REF!</v>
      </c>
      <c r="Q190" s="258" t="s">
        <v>18</v>
      </c>
      <c r="T190" s="414" t="e">
        <f>ROUND(T174*#REF!/1000,6)</f>
        <v>#REF!</v>
      </c>
      <c r="U190" s="414" t="e">
        <f>ROUND(U174*#REF!/1000,6)</f>
        <v>#REF!</v>
      </c>
      <c r="V190" s="414" t="e">
        <f>ROUND(V174*#REF!/1000,6)</f>
        <v>#REF!</v>
      </c>
      <c r="X190" s="414" t="e">
        <f>ROUND(X174*#REF!/1000,6)</f>
        <v>#REF!</v>
      </c>
    </row>
    <row r="191" spans="1:29" x14ac:dyDescent="0.25">
      <c r="B191" s="261" t="s">
        <v>72</v>
      </c>
      <c r="E191" s="432" t="e">
        <f>ROUND(E175*#REF!/1000,6)</f>
        <v>#REF!</v>
      </c>
      <c r="H191" s="414" t="e">
        <f>ROUND(H175*#REF!/1000,6)</f>
        <v>#REF!</v>
      </c>
      <c r="Q191" s="261" t="s">
        <v>72</v>
      </c>
      <c r="T191" s="414" t="e">
        <f>ROUND(T175*#REF!/1000,6)</f>
        <v>#REF!</v>
      </c>
      <c r="W191" s="414" t="e">
        <f>ROUND(W175*#REF!/1000,6)</f>
        <v>#REF!</v>
      </c>
    </row>
    <row r="192" spans="1:29" x14ac:dyDescent="0.25">
      <c r="B192" s="261" t="s">
        <v>73</v>
      </c>
      <c r="E192" s="432" t="e">
        <f>ROUND(E176*#REF!/1000,6)</f>
        <v>#REF!</v>
      </c>
      <c r="H192" s="414" t="e">
        <f>ROUND(H176*#REF!/1000,6)</f>
        <v>#REF!</v>
      </c>
      <c r="Q192" s="261" t="s">
        <v>73</v>
      </c>
      <c r="T192" s="414" t="e">
        <f>ROUND(T176*#REF!/1000,6)</f>
        <v>#REF!</v>
      </c>
      <c r="W192" s="414" t="e">
        <f>ROUND(W176*#REF!/1000,6)</f>
        <v>#REF!</v>
      </c>
    </row>
    <row r="194" spans="2:24" x14ac:dyDescent="0.25">
      <c r="B194" s="406" t="s">
        <v>399</v>
      </c>
      <c r="Q194" s="406" t="s">
        <v>396</v>
      </c>
    </row>
    <row r="195" spans="2:24" x14ac:dyDescent="0.25">
      <c r="B195" s="258" t="s">
        <v>17</v>
      </c>
      <c r="E195" s="13" t="e">
        <f>E187-'BGS PTY16 Cost Alloc'!$E$203/1000</f>
        <v>#REF!</v>
      </c>
      <c r="G195" s="13" t="e">
        <f>G187-'BGS PTY16 Cost Alloc'!$G$203/1000</f>
        <v>#REF!</v>
      </c>
      <c r="I195" s="13" t="e">
        <f>I187-'BGS PTY16 Cost Alloc'!$I$203/1000</f>
        <v>#REF!</v>
      </c>
      <c r="Q195" s="258" t="s">
        <v>17</v>
      </c>
      <c r="T195" s="13" t="e">
        <f>T187-'BGS PTY16 Cost Alloc'!$E$203/1000</f>
        <v>#REF!</v>
      </c>
      <c r="V195" s="13" t="e">
        <f>V187-'BGS PTY16 Cost Alloc'!$G$203/1000</f>
        <v>#REF!</v>
      </c>
      <c r="X195" s="13" t="e">
        <f>X187-'BGS PTY16 Cost Alloc'!$I$203/1000</f>
        <v>#REF!</v>
      </c>
    </row>
    <row r="196" spans="2:24" x14ac:dyDescent="0.25">
      <c r="B196" s="261" t="s">
        <v>72</v>
      </c>
      <c r="E196" s="13" t="e">
        <f>E188-'BGS PTY16 Cost Alloc'!$E$203/1000</f>
        <v>#REF!</v>
      </c>
      <c r="F196" s="415" t="e">
        <f>F188-'BGS PTY16 Cost Alloc'!$F$203/1000</f>
        <v>#REF!</v>
      </c>
      <c r="H196" s="13" t="e">
        <f>H188-'BGS PTY16 Cost Alloc'!$H$203/1000</f>
        <v>#REF!</v>
      </c>
      <c r="Q196" s="261" t="s">
        <v>72</v>
      </c>
      <c r="T196" s="13" t="e">
        <f>T188-'BGS PTY16 Cost Alloc'!$E$203/1000</f>
        <v>#REF!</v>
      </c>
      <c r="U196" s="415" t="e">
        <f>U188-'BGS PTY16 Cost Alloc'!$F$203/1000</f>
        <v>#REF!</v>
      </c>
      <c r="W196" s="13" t="e">
        <f>W188-'BGS PTY16 Cost Alloc'!$H$203/1000</f>
        <v>#REF!</v>
      </c>
    </row>
    <row r="197" spans="2:24" x14ac:dyDescent="0.25">
      <c r="B197" s="261" t="s">
        <v>73</v>
      </c>
      <c r="E197" s="13" t="e">
        <f>E189-'BGS PTY16 Cost Alloc'!$E$203/1000</f>
        <v>#REF!</v>
      </c>
      <c r="F197" s="415" t="e">
        <f>F189-'BGS PTY16 Cost Alloc'!$F$203/1000</f>
        <v>#REF!</v>
      </c>
      <c r="H197" s="13" t="e">
        <f>H189-'BGS PTY16 Cost Alloc'!$H$203/1000</f>
        <v>#REF!</v>
      </c>
      <c r="Q197" s="261" t="s">
        <v>73</v>
      </c>
      <c r="T197" s="13" t="e">
        <f>T189-'BGS PTY16 Cost Alloc'!$E$203/1000</f>
        <v>#REF!</v>
      </c>
      <c r="U197" s="415" t="e">
        <f>U189-'BGS PTY16 Cost Alloc'!$F$203/1000</f>
        <v>#REF!</v>
      </c>
      <c r="W197" s="13" t="e">
        <f>W189-'BGS PTY16 Cost Alloc'!$H$203/1000</f>
        <v>#REF!</v>
      </c>
    </row>
    <row r="198" spans="2:24" x14ac:dyDescent="0.25">
      <c r="B198" s="258" t="s">
        <v>18</v>
      </c>
      <c r="E198" s="13" t="e">
        <f>E190-'BGS PTY16 Cost Alloc'!$E$203/1000</f>
        <v>#REF!</v>
      </c>
      <c r="F198" s="415" t="e">
        <f>F190-'BGS PTY16 Cost Alloc'!$F$203/1000</f>
        <v>#REF!</v>
      </c>
      <c r="G198" s="13" t="e">
        <f>G190-'BGS PTY16 Cost Alloc'!$G$203/1000</f>
        <v>#REF!</v>
      </c>
      <c r="I198" s="13" t="e">
        <f>I190-'BGS PTY16 Cost Alloc'!$I$203/1000</f>
        <v>#REF!</v>
      </c>
      <c r="Q198" s="258" t="s">
        <v>18</v>
      </c>
      <c r="T198" s="13" t="e">
        <f>T190-'BGS PTY16 Cost Alloc'!$E$203/1000</f>
        <v>#REF!</v>
      </c>
      <c r="U198" s="415" t="e">
        <f>U190-'BGS PTY16 Cost Alloc'!$F$203/1000</f>
        <v>#REF!</v>
      </c>
      <c r="V198" s="13" t="e">
        <f>V190-'BGS PTY16 Cost Alloc'!$G$203/1000</f>
        <v>#REF!</v>
      </c>
      <c r="X198" s="13" t="e">
        <f>X190-'BGS PTY16 Cost Alloc'!$I$203/1000</f>
        <v>#REF!</v>
      </c>
    </row>
    <row r="199" spans="2:24" x14ac:dyDescent="0.25">
      <c r="B199" s="261" t="s">
        <v>72</v>
      </c>
      <c r="E199" s="13" t="e">
        <f>E191-'BGS PTY16 Cost Alloc'!$E$203/1000</f>
        <v>#REF!</v>
      </c>
      <c r="H199" s="13" t="e">
        <f>H191-'BGS PTY16 Cost Alloc'!$H$203/1000</f>
        <v>#REF!</v>
      </c>
      <c r="Q199" s="261" t="s">
        <v>72</v>
      </c>
      <c r="T199" s="13" t="e">
        <f>T191-'BGS PTY16 Cost Alloc'!$E$203/1000</f>
        <v>#REF!</v>
      </c>
      <c r="W199" s="13" t="e">
        <f>W191-'BGS PTY16 Cost Alloc'!$H$203/1000</f>
        <v>#REF!</v>
      </c>
    </row>
    <row r="200" spans="2:24" x14ac:dyDescent="0.25">
      <c r="B200" s="261" t="s">
        <v>73</v>
      </c>
      <c r="E200" s="13" t="e">
        <f>E192-'BGS PTY16 Cost Alloc'!$E$203/1000</f>
        <v>#REF!</v>
      </c>
      <c r="H200" s="13" t="e">
        <f>H192-'BGS PTY16 Cost Alloc'!$H$203/1000</f>
        <v>#REF!</v>
      </c>
      <c r="Q200" s="261" t="s">
        <v>73</v>
      </c>
      <c r="T200" s="13" t="e">
        <f>T192-'BGS PTY16 Cost Alloc'!$E$203/1000</f>
        <v>#REF!</v>
      </c>
      <c r="W200" s="13" t="e">
        <f>W192-'BGS PTY16 Cost Alloc'!$H$203/1000</f>
        <v>#REF!</v>
      </c>
    </row>
    <row r="202" spans="2:24" x14ac:dyDescent="0.25">
      <c r="B202" s="406" t="s">
        <v>397</v>
      </c>
      <c r="Q202" s="406" t="s">
        <v>397</v>
      </c>
    </row>
    <row r="203" spans="2:24" x14ac:dyDescent="0.25">
      <c r="B203" s="258" t="s">
        <v>17</v>
      </c>
      <c r="E203" s="416" t="e">
        <f>ROUND(E195*$E110,0)</f>
        <v>#REF!</v>
      </c>
      <c r="G203" s="416" t="e">
        <f>ROUND(G195*$G110,0)</f>
        <v>#REF!</v>
      </c>
      <c r="I203" s="416" t="e">
        <f>ROUND(I195*$I110,0)</f>
        <v>#REF!</v>
      </c>
      <c r="Q203" s="258" t="s">
        <v>17</v>
      </c>
      <c r="T203" s="416" t="e">
        <f>ROUND(T195*$E110,0)</f>
        <v>#REF!</v>
      </c>
      <c r="V203" s="416" t="e">
        <f>ROUND(V195*$G110,0)</f>
        <v>#REF!</v>
      </c>
      <c r="X203" s="416" t="e">
        <f>ROUND(X195*$I110,0)</f>
        <v>#REF!</v>
      </c>
    </row>
    <row r="204" spans="2:24" x14ac:dyDescent="0.25">
      <c r="B204" s="261" t="s">
        <v>72</v>
      </c>
      <c r="E204" s="416" t="e">
        <f>ROUND(E196*$E111,0)</f>
        <v>#REF!</v>
      </c>
      <c r="F204" s="416" t="e">
        <f>ROUND(F196*$F113,0)</f>
        <v>#REF!</v>
      </c>
      <c r="H204" s="416" t="e">
        <f>ROUND(H196*$H111,0)</f>
        <v>#REF!</v>
      </c>
      <c r="Q204" s="261" t="s">
        <v>72</v>
      </c>
      <c r="T204" s="416" t="e">
        <f>ROUND(T196*$E111,0)</f>
        <v>#REF!</v>
      </c>
      <c r="U204" s="416" t="e">
        <f>ROUND(U196*$F113,0)</f>
        <v>#REF!</v>
      </c>
      <c r="W204" s="416" t="e">
        <f>ROUND(W196*$H111,0)</f>
        <v>#REF!</v>
      </c>
    </row>
    <row r="205" spans="2:24" x14ac:dyDescent="0.25">
      <c r="B205" s="261" t="s">
        <v>73</v>
      </c>
      <c r="E205" s="416" t="e">
        <f>ROUND(E197*$E112,0)</f>
        <v>#REF!</v>
      </c>
      <c r="F205" s="416" t="e">
        <f>ROUND(F197*$F114,0)</f>
        <v>#REF!</v>
      </c>
      <c r="H205" s="416" t="e">
        <f>ROUND(H197*$H112,0)</f>
        <v>#REF!</v>
      </c>
      <c r="Q205" s="261" t="s">
        <v>73</v>
      </c>
      <c r="T205" s="416" t="e">
        <f>ROUND(T197*$E112,0)</f>
        <v>#REF!</v>
      </c>
      <c r="U205" s="416" t="e">
        <f>ROUND(U197*$F114,0)</f>
        <v>#REF!</v>
      </c>
      <c r="W205" s="416" t="e">
        <f>ROUND(W197*$H112,0)</f>
        <v>#REF!</v>
      </c>
    </row>
    <row r="206" spans="2:24" x14ac:dyDescent="0.25">
      <c r="B206" s="258" t="s">
        <v>18</v>
      </c>
      <c r="E206" s="416" t="e">
        <f>ROUND(E198*$E116,0)</f>
        <v>#REF!</v>
      </c>
      <c r="F206" s="416" t="e">
        <f>ROUND(F198*$F116,0)</f>
        <v>#REF!</v>
      </c>
      <c r="G206" s="416" t="e">
        <f>ROUND(G198*$G116,0)</f>
        <v>#REF!</v>
      </c>
      <c r="I206" s="416" t="e">
        <f>ROUND(I198*$I116,0)</f>
        <v>#REF!</v>
      </c>
      <c r="Q206" s="258" t="s">
        <v>18</v>
      </c>
      <c r="T206" s="416" t="e">
        <f>ROUND(T198*$E116,0)</f>
        <v>#REF!</v>
      </c>
      <c r="U206" s="416" t="e">
        <f>ROUND(U198*$F116,0)</f>
        <v>#REF!</v>
      </c>
      <c r="V206" s="416" t="e">
        <f>ROUND(V198*$G116,0)</f>
        <v>#REF!</v>
      </c>
      <c r="X206" s="416" t="e">
        <f>ROUND(X198*$I116,0)</f>
        <v>#REF!</v>
      </c>
    </row>
    <row r="207" spans="2:24" x14ac:dyDescent="0.25">
      <c r="B207" s="261" t="s">
        <v>72</v>
      </c>
      <c r="E207" s="416" t="e">
        <f>ROUND(E199*$E117,0)</f>
        <v>#REF!</v>
      </c>
      <c r="H207" s="416" t="e">
        <f>ROUND(H199*$H117,0)</f>
        <v>#REF!</v>
      </c>
      <c r="Q207" s="261" t="s">
        <v>72</v>
      </c>
      <c r="T207" s="416" t="e">
        <f>ROUND(T199*$E117,0)</f>
        <v>#REF!</v>
      </c>
      <c r="W207" s="416" t="e">
        <f>ROUND(W199*$H117,0)</f>
        <v>#REF!</v>
      </c>
    </row>
    <row r="208" spans="2:24" ht="13.8" thickBot="1" x14ac:dyDescent="0.3">
      <c r="B208" s="261" t="s">
        <v>73</v>
      </c>
      <c r="E208" s="416" t="e">
        <f>ROUND(E200*$E118,0)</f>
        <v>#REF!</v>
      </c>
      <c r="H208" s="416" t="e">
        <f>ROUND(H200*$H118,0)</f>
        <v>#REF!</v>
      </c>
      <c r="O208" s="406" t="s">
        <v>409</v>
      </c>
      <c r="Q208" s="261" t="s">
        <v>73</v>
      </c>
      <c r="T208" s="416" t="e">
        <f>ROUND(T200*$E118,0)</f>
        <v>#REF!</v>
      </c>
      <c r="W208" s="416" t="e">
        <f>ROUND(W200*$H118,0)</f>
        <v>#REF!</v>
      </c>
    </row>
    <row r="209" spans="10:25" ht="13.8" thickBot="1" x14ac:dyDescent="0.3">
      <c r="J209" s="416" t="e">
        <f>SUM(E203:I208)</f>
        <v>#REF!</v>
      </c>
      <c r="O209" s="433" t="e">
        <f>J209-Y209</f>
        <v>#REF!</v>
      </c>
      <c r="Y209" s="416" t="e">
        <f>SUM(T203:X208)</f>
        <v>#REF!</v>
      </c>
    </row>
    <row r="211" spans="10:25" x14ac:dyDescent="0.25">
      <c r="J211" s="416" t="e">
        <f>#REF!</f>
        <v>#REF!</v>
      </c>
      <c r="O211" s="252" t="e">
        <f>O209/Y209</f>
        <v>#REF!</v>
      </c>
      <c r="Q211" s="438"/>
      <c r="R211" s="438"/>
    </row>
    <row r="213" spans="10:25" x14ac:dyDescent="0.25">
      <c r="J213" s="84"/>
    </row>
    <row r="214" spans="10:25" x14ac:dyDescent="0.25">
      <c r="J214" s="416"/>
    </row>
    <row r="215" spans="10:25" x14ac:dyDescent="0.25">
      <c r="J215" s="84"/>
    </row>
    <row r="216" spans="10:25" x14ac:dyDescent="0.25">
      <c r="J216" s="416"/>
    </row>
    <row r="217" spans="10:25" x14ac:dyDescent="0.25">
      <c r="J217" s="81"/>
    </row>
  </sheetData>
  <mergeCells count="12">
    <mergeCell ref="B157:N157"/>
    <mergeCell ref="B1:N1"/>
    <mergeCell ref="B2:N2"/>
    <mergeCell ref="B3:N3"/>
    <mergeCell ref="B5:N5"/>
    <mergeCell ref="B54:N54"/>
    <mergeCell ref="B55:N55"/>
    <mergeCell ref="B56:N56"/>
    <mergeCell ref="B100:N100"/>
    <mergeCell ref="B101:N101"/>
    <mergeCell ref="B102:N102"/>
    <mergeCell ref="B156:N156"/>
  </mergeCells>
  <pageMargins left="0.7" right="0.7" top="0.75" bottom="0.75" header="0.3" footer="0.3"/>
  <pageSetup paperSize="5" scale="49" fitToHeight="0" orientation="landscape" r:id="rId1"/>
  <headerFooter alignWithMargins="0">
    <oddFooter>&amp;L&amp;F    &amp;A&amp;CPage &amp;P of &amp;N&amp;R&amp;D</oddFooter>
  </headerFooter>
  <rowBreaks count="3" manualBreakCount="3">
    <brk id="53" max="24" man="1"/>
    <brk id="98" max="24" man="1"/>
    <brk id="155" max="24" man="1"/>
  </rowBreaks>
  <colBreaks count="1" manualBreakCount="1">
    <brk id="15" max="210" man="1"/>
  </col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Q43"/>
  <sheetViews>
    <sheetView workbookViewId="0"/>
  </sheetViews>
  <sheetFormatPr defaultRowHeight="13.2" x14ac:dyDescent="0.25"/>
  <cols>
    <col min="1" max="1" width="14.5546875" customWidth="1"/>
    <col min="2" max="3" width="12.6640625" customWidth="1"/>
    <col min="4" max="4" width="13.109375" customWidth="1"/>
    <col min="5" max="5" width="12.5546875" customWidth="1"/>
    <col min="6" max="6" width="12.6640625" customWidth="1"/>
    <col min="7" max="7" width="12" customWidth="1"/>
    <col min="8" max="8" width="12.109375" customWidth="1"/>
    <col min="9" max="9" width="12.6640625" customWidth="1"/>
    <col min="10" max="10" width="13.109375" customWidth="1"/>
    <col min="11" max="11" width="12.88671875" customWidth="1"/>
    <col min="12" max="12" width="13.33203125" customWidth="1"/>
    <col min="13" max="13" width="13.109375" customWidth="1"/>
    <col min="14" max="14" width="8.88671875" style="334"/>
    <col min="15" max="15" width="12" style="334" customWidth="1"/>
    <col min="16" max="17" width="10.33203125" style="334" bestFit="1" customWidth="1"/>
  </cols>
  <sheetData>
    <row r="1" spans="1:13" x14ac:dyDescent="0.25">
      <c r="A1" t="e">
        <f>#REF!</f>
        <v>#REF!</v>
      </c>
    </row>
    <row r="2" spans="1:13" x14ac:dyDescent="0.25">
      <c r="A2" s="328">
        <f ca="1">NOW()</f>
        <v>42900.642662847225</v>
      </c>
    </row>
    <row r="3" spans="1:13" ht="15.6" x14ac:dyDescent="0.3">
      <c r="A3" s="328"/>
      <c r="M3" s="335" t="s">
        <v>187</v>
      </c>
    </row>
    <row r="4" spans="1:13" x14ac:dyDescent="0.25">
      <c r="A4" s="328"/>
    </row>
    <row r="5" spans="1:13" x14ac:dyDescent="0.25">
      <c r="A5" s="328"/>
    </row>
    <row r="6" spans="1:13" x14ac:dyDescent="0.25">
      <c r="A6" s="330"/>
    </row>
    <row r="7" spans="1:13" ht="15.6" x14ac:dyDescent="0.3">
      <c r="A7" s="544" t="s">
        <v>325</v>
      </c>
      <c r="B7" s="544"/>
      <c r="C7" s="544"/>
      <c r="D7" s="544"/>
      <c r="E7" s="544"/>
      <c r="F7" s="544"/>
      <c r="G7" s="544"/>
      <c r="H7" s="544"/>
      <c r="I7" s="544"/>
      <c r="J7" s="544"/>
      <c r="K7" s="544"/>
      <c r="L7" s="544"/>
      <c r="M7" s="544"/>
    </row>
    <row r="8" spans="1:13" x14ac:dyDescent="0.25">
      <c r="A8" s="331"/>
      <c r="B8" s="331"/>
      <c r="C8" s="331"/>
    </row>
    <row r="9" spans="1:13" x14ac:dyDescent="0.25">
      <c r="A9" s="331"/>
      <c r="B9" s="331"/>
      <c r="C9" s="331"/>
    </row>
    <row r="10" spans="1:13" ht="15.6" x14ac:dyDescent="0.3">
      <c r="A10" s="545" t="s">
        <v>327</v>
      </c>
      <c r="B10" s="545"/>
      <c r="C10" s="545"/>
      <c r="D10" s="545"/>
      <c r="E10" s="545"/>
      <c r="F10" s="545"/>
      <c r="G10" s="545"/>
      <c r="H10" s="545"/>
      <c r="I10" s="545"/>
      <c r="J10" s="545"/>
      <c r="K10" s="545"/>
      <c r="L10" s="545"/>
      <c r="M10" s="545"/>
    </row>
    <row r="11" spans="1:13" ht="15.6" x14ac:dyDescent="0.3">
      <c r="A11" s="546" t="e">
        <f>#REF!</f>
        <v>#REF!</v>
      </c>
      <c r="B11" s="545"/>
      <c r="C11" s="545"/>
      <c r="D11" s="545"/>
      <c r="E11" s="545"/>
      <c r="F11" s="545"/>
      <c r="G11" s="545"/>
      <c r="H11" s="545"/>
      <c r="I11" s="545"/>
      <c r="J11" s="545"/>
      <c r="K11" s="545"/>
      <c r="L11" s="545"/>
      <c r="M11" s="545"/>
    </row>
    <row r="12" spans="1:13" ht="15.6" x14ac:dyDescent="0.3">
      <c r="A12" s="336"/>
      <c r="B12" s="336"/>
      <c r="C12" s="336"/>
    </row>
    <row r="14" spans="1:13" x14ac:dyDescent="0.25">
      <c r="E14" s="306" t="s">
        <v>328</v>
      </c>
      <c r="F14" s="337" t="e">
        <f>#REF!/1000</f>
        <v>#REF!</v>
      </c>
      <c r="G14" s="119" t="s">
        <v>329</v>
      </c>
    </row>
    <row r="15" spans="1:13" x14ac:dyDescent="0.25">
      <c r="C15" s="338"/>
    </row>
    <row r="16" spans="1:13" x14ac:dyDescent="0.25">
      <c r="A16" s="339"/>
      <c r="C16" s="338"/>
    </row>
    <row r="17" spans="1:17" ht="19.5" customHeight="1" x14ac:dyDescent="0.25">
      <c r="A17" s="547" t="s">
        <v>330</v>
      </c>
      <c r="B17" s="538" t="s">
        <v>331</v>
      </c>
      <c r="C17" s="539"/>
      <c r="D17" s="538" t="s">
        <v>332</v>
      </c>
      <c r="E17" s="539"/>
      <c r="F17" s="538" t="s">
        <v>333</v>
      </c>
      <c r="G17" s="538" t="s">
        <v>334</v>
      </c>
      <c r="H17" s="539"/>
      <c r="I17" s="547" t="s">
        <v>335</v>
      </c>
      <c r="J17" s="538" t="s">
        <v>336</v>
      </c>
      <c r="K17" s="539"/>
      <c r="L17" s="538" t="s">
        <v>337</v>
      </c>
      <c r="M17" s="539"/>
    </row>
    <row r="18" spans="1:17" ht="20.25" customHeight="1" x14ac:dyDescent="0.25">
      <c r="A18" s="548"/>
      <c r="B18" s="540"/>
      <c r="C18" s="541"/>
      <c r="D18" s="540"/>
      <c r="E18" s="541"/>
      <c r="F18" s="540"/>
      <c r="G18" s="540"/>
      <c r="H18" s="541"/>
      <c r="I18" s="548"/>
      <c r="J18" s="540"/>
      <c r="K18" s="541"/>
      <c r="L18" s="540"/>
      <c r="M18" s="541"/>
      <c r="N18" s="340" t="s">
        <v>289</v>
      </c>
      <c r="O18" s="340"/>
      <c r="P18" s="340" t="s">
        <v>338</v>
      </c>
    </row>
    <row r="19" spans="1:17" ht="21.75" customHeight="1" x14ac:dyDescent="0.25">
      <c r="A19" s="549"/>
      <c r="B19" s="341" t="s">
        <v>25</v>
      </c>
      <c r="C19" s="342" t="s">
        <v>26</v>
      </c>
      <c r="D19" s="341" t="s">
        <v>25</v>
      </c>
      <c r="E19" s="342" t="s">
        <v>26</v>
      </c>
      <c r="F19" s="341" t="s">
        <v>25</v>
      </c>
      <c r="G19" s="341" t="s">
        <v>25</v>
      </c>
      <c r="H19" s="342" t="s">
        <v>26</v>
      </c>
      <c r="I19" s="549"/>
      <c r="J19" s="341" t="s">
        <v>25</v>
      </c>
      <c r="K19" s="342" t="s">
        <v>26</v>
      </c>
      <c r="L19" s="341" t="s">
        <v>25</v>
      </c>
      <c r="M19" s="342" t="s">
        <v>26</v>
      </c>
      <c r="N19" s="542" t="s">
        <v>339</v>
      </c>
      <c r="O19" s="543"/>
      <c r="P19" s="343"/>
      <c r="Q19" s="344"/>
    </row>
    <row r="20" spans="1:17" x14ac:dyDescent="0.25">
      <c r="A20" s="345" t="s">
        <v>340</v>
      </c>
      <c r="B20" s="391"/>
      <c r="C20" s="391">
        <f>'Composite Cost Allocation'!F174</f>
        <v>1.1559999999999999</v>
      </c>
      <c r="D20" s="346"/>
      <c r="E20" s="347" t="e">
        <f>ROUND(SUM($F$14*C20),6)</f>
        <v>#REF!</v>
      </c>
      <c r="F20" s="346"/>
      <c r="G20" s="346"/>
      <c r="H20" s="347" t="e">
        <f>E20</f>
        <v>#REF!</v>
      </c>
      <c r="I20" s="348">
        <f>0.004627</f>
        <v>4.627E-3</v>
      </c>
      <c r="J20" s="346"/>
      <c r="K20" s="347" t="e">
        <f>H20-$I20</f>
        <v>#REF!</v>
      </c>
      <c r="L20" s="346"/>
      <c r="M20" s="347" t="e">
        <f>ROUND(SUM(K20*1.07),6)</f>
        <v>#REF!</v>
      </c>
      <c r="N20" s="349"/>
      <c r="O20" s="350">
        <v>9.8128999999999994E-2</v>
      </c>
      <c r="P20" s="351" t="s">
        <v>256</v>
      </c>
      <c r="Q20" s="352" t="e">
        <f>M20-O20</f>
        <v>#REF!</v>
      </c>
    </row>
    <row r="21" spans="1:17" x14ac:dyDescent="0.25">
      <c r="A21" s="345" t="s">
        <v>341</v>
      </c>
      <c r="B21" s="391">
        <f>'Composite Cost Allocation'!F166</f>
        <v>1.07</v>
      </c>
      <c r="C21" s="391"/>
      <c r="D21" s="347" t="e">
        <f>ROUND(SUM($F$14*B21),6)</f>
        <v>#REF!</v>
      </c>
      <c r="E21" s="346"/>
      <c r="F21" s="366">
        <f>'Composite Cost Allocation'!F171/1000</f>
        <v>-4.0759999999999998E-3</v>
      </c>
      <c r="G21" s="347" t="e">
        <f>D21+F21</f>
        <v>#REF!</v>
      </c>
      <c r="H21" s="346"/>
      <c r="I21" s="348">
        <f>0.004627</f>
        <v>4.627E-3</v>
      </c>
      <c r="J21" s="347" t="e">
        <f>G21-$I21</f>
        <v>#REF!</v>
      </c>
      <c r="K21" s="346"/>
      <c r="L21" s="347" t="e">
        <f>ROUND(SUM(J21*1.07),6)</f>
        <v>#REF!</v>
      </c>
      <c r="M21" s="346"/>
      <c r="N21" s="349">
        <v>9.0282000000000001E-2</v>
      </c>
      <c r="O21" s="350"/>
      <c r="P21" s="351" t="e">
        <f>L21-N21</f>
        <v>#REF!</v>
      </c>
      <c r="Q21" s="353"/>
    </row>
    <row r="22" spans="1:17" x14ac:dyDescent="0.25">
      <c r="A22" s="345" t="s">
        <v>342</v>
      </c>
      <c r="B22" s="391">
        <f>'Composite Cost Allocation'!F166</f>
        <v>1.07</v>
      </c>
      <c r="C22" s="391"/>
      <c r="D22" s="347" t="e">
        <f>ROUND(SUM($F$14*B22),6)</f>
        <v>#REF!</v>
      </c>
      <c r="E22" s="346"/>
      <c r="F22" s="366">
        <f>'Composite Cost Allocation'!F172/1000</f>
        <v>4.5759999999999993E-3</v>
      </c>
      <c r="G22" s="347" t="e">
        <f>D22+F22</f>
        <v>#REF!</v>
      </c>
      <c r="H22" s="346"/>
      <c r="I22" s="348">
        <f>0.004627</f>
        <v>4.627E-3</v>
      </c>
      <c r="J22" s="347" t="e">
        <f>G22-$I22</f>
        <v>#REF!</v>
      </c>
      <c r="K22" s="346"/>
      <c r="L22" s="347" t="e">
        <f>ROUND(SUM(J22*1.07),6)</f>
        <v>#REF!</v>
      </c>
      <c r="M22" s="346"/>
      <c r="N22" s="354">
        <v>9.9540000000000003E-2</v>
      </c>
      <c r="O22" s="350"/>
      <c r="P22" s="351" t="e">
        <f>L22-N22</f>
        <v>#REF!</v>
      </c>
      <c r="Q22" s="353"/>
    </row>
    <row r="23" spans="1:17" x14ac:dyDescent="0.25">
      <c r="A23" s="345"/>
      <c r="B23" s="391"/>
      <c r="C23" s="391"/>
      <c r="D23" s="346"/>
      <c r="E23" s="346"/>
      <c r="F23" s="392"/>
      <c r="G23" s="346"/>
      <c r="H23" s="346"/>
      <c r="I23" s="348"/>
      <c r="J23" s="346"/>
      <c r="K23" s="346"/>
      <c r="L23" s="346"/>
      <c r="M23" s="346"/>
      <c r="N23" s="349"/>
      <c r="O23" s="350"/>
      <c r="P23" s="355"/>
      <c r="Q23" s="353"/>
    </row>
    <row r="24" spans="1:17" x14ac:dyDescent="0.25">
      <c r="A24" s="345" t="s">
        <v>343</v>
      </c>
      <c r="B24" s="391">
        <f>'Composite Cost Allocation'!E167</f>
        <v>1.8720000000000001</v>
      </c>
      <c r="C24" s="391">
        <f>'Composite Cost Allocation'!E175</f>
        <v>1.907</v>
      </c>
      <c r="D24" s="347" t="e">
        <f>ROUND(SUM($F$14*B24),6)</f>
        <v>#REF!</v>
      </c>
      <c r="E24" s="347" t="e">
        <f>ROUND(SUM($F$14*C24),6)</f>
        <v>#REF!</v>
      </c>
      <c r="F24" s="347"/>
      <c r="G24" s="347" t="e">
        <f>D24+F24</f>
        <v>#REF!</v>
      </c>
      <c r="H24" s="347" t="e">
        <f>E24</f>
        <v>#REF!</v>
      </c>
      <c r="I24" s="348">
        <f>0.003842</f>
        <v>3.8419999999999999E-3</v>
      </c>
      <c r="J24" s="347" t="e">
        <f>G24-$I24</f>
        <v>#REF!</v>
      </c>
      <c r="K24" s="347" t="e">
        <f>H24-$I24</f>
        <v>#REF!</v>
      </c>
      <c r="L24" s="347" t="e">
        <f>ROUND(SUM(J24*1.07),6)</f>
        <v>#REF!</v>
      </c>
      <c r="M24" s="347" t="e">
        <f>ROUND(SUM(K24*1.07),6)</f>
        <v>#REF!</v>
      </c>
      <c r="N24" s="349">
        <v>0.154945</v>
      </c>
      <c r="O24" s="350">
        <v>0.14588899999999999</v>
      </c>
      <c r="P24" s="351" t="e">
        <f>L24-N24</f>
        <v>#REF!</v>
      </c>
      <c r="Q24" s="352" t="e">
        <f>M24-O24</f>
        <v>#REF!</v>
      </c>
    </row>
    <row r="25" spans="1:17" x14ac:dyDescent="0.25">
      <c r="A25" s="345" t="s">
        <v>344</v>
      </c>
      <c r="B25" s="391">
        <f>'Composite Cost Allocation'!E168</f>
        <v>0.68400000000000005</v>
      </c>
      <c r="C25" s="391">
        <f>'Composite Cost Allocation'!E176</f>
        <v>0.72399999999999998</v>
      </c>
      <c r="D25" s="347" t="e">
        <f>ROUND(SUM($F$14*B25),6)</f>
        <v>#REF!</v>
      </c>
      <c r="E25" s="347" t="e">
        <f>ROUND(SUM($F$14*C25),6)</f>
        <v>#REF!</v>
      </c>
      <c r="F25" s="347"/>
      <c r="G25" s="347" t="e">
        <f>D25+F25</f>
        <v>#REF!</v>
      </c>
      <c r="H25" s="347" t="e">
        <f>E25</f>
        <v>#REF!</v>
      </c>
      <c r="I25" s="348">
        <f>0.003842</f>
        <v>3.8419999999999999E-3</v>
      </c>
      <c r="J25" s="347" t="e">
        <f>G25-$I25</f>
        <v>#REF!</v>
      </c>
      <c r="K25" s="347" t="e">
        <f>H25-$I25</f>
        <v>#REF!</v>
      </c>
      <c r="L25" s="347" t="e">
        <f>ROUND(SUM(J25*1.07),6)</f>
        <v>#REF!</v>
      </c>
      <c r="M25" s="347" t="e">
        <f>ROUND(SUM(K25*1.07),6)</f>
        <v>#REF!</v>
      </c>
      <c r="N25" s="349">
        <v>6.028E-2</v>
      </c>
      <c r="O25" s="350">
        <v>6.3755000000000006E-2</v>
      </c>
      <c r="P25" s="351" t="e">
        <f>L25-N25</f>
        <v>#REF!</v>
      </c>
      <c r="Q25" s="352" t="e">
        <f>M25-O25</f>
        <v>#REF!</v>
      </c>
    </row>
    <row r="26" spans="1:17" x14ac:dyDescent="0.25">
      <c r="A26" s="345"/>
      <c r="B26" s="391"/>
      <c r="C26" s="391"/>
      <c r="D26" s="347"/>
      <c r="E26" s="347"/>
      <c r="F26" s="347"/>
      <c r="G26" s="347"/>
      <c r="H26" s="347"/>
      <c r="I26" s="348"/>
      <c r="J26" s="347"/>
      <c r="K26" s="347"/>
      <c r="L26" s="347"/>
      <c r="M26" s="347"/>
      <c r="N26" s="349"/>
      <c r="O26" s="350"/>
      <c r="P26" s="355"/>
      <c r="Q26" s="353"/>
    </row>
    <row r="27" spans="1:17" x14ac:dyDescent="0.25">
      <c r="A27" s="345" t="s">
        <v>345</v>
      </c>
      <c r="B27" s="391">
        <f>'Composite Cost Allocation'!E166</f>
        <v>1.1779999999999999</v>
      </c>
      <c r="C27" s="391">
        <f>'Composite Cost Allocation'!E174</f>
        <v>1.1519999999999999</v>
      </c>
      <c r="D27" s="347" t="e">
        <f>ROUND(SUM($F$14*B27),6)</f>
        <v>#REF!</v>
      </c>
      <c r="E27" s="347" t="e">
        <f>ROUND(SUM($F$14*C27),6)</f>
        <v>#REF!</v>
      </c>
      <c r="F27" s="347"/>
      <c r="G27" s="347" t="e">
        <f>D27+F27</f>
        <v>#REF!</v>
      </c>
      <c r="H27" s="347" t="e">
        <f>E27</f>
        <v>#REF!</v>
      </c>
      <c r="I27" s="348">
        <f>0.003842</f>
        <v>3.8419999999999999E-3</v>
      </c>
      <c r="J27" s="347" t="e">
        <f>G27-$I27</f>
        <v>#REF!</v>
      </c>
      <c r="K27" s="347" t="e">
        <f>H27-$I27</f>
        <v>#REF!</v>
      </c>
      <c r="L27" s="347" t="e">
        <f>ROUND(SUM(J27*1.07),6)</f>
        <v>#REF!</v>
      </c>
      <c r="M27" s="347" t="e">
        <f>ROUND(SUM(K27*1.07),6)</f>
        <v>#REF!</v>
      </c>
      <c r="N27" s="349">
        <v>9.7871E-2</v>
      </c>
      <c r="O27" s="350">
        <v>9.2565999999999996E-2</v>
      </c>
      <c r="P27" s="351" t="e">
        <f>L27-N27</f>
        <v>#REF!</v>
      </c>
      <c r="Q27" s="352" t="e">
        <f>M27-O27</f>
        <v>#REF!</v>
      </c>
    </row>
    <row r="28" spans="1:17" x14ac:dyDescent="0.25">
      <c r="A28" s="345"/>
      <c r="B28" s="391"/>
      <c r="C28" s="391"/>
      <c r="D28" s="346"/>
      <c r="E28" s="346"/>
      <c r="F28" s="346"/>
      <c r="G28" s="346"/>
      <c r="H28" s="346"/>
      <c r="I28" s="348"/>
      <c r="J28" s="346"/>
      <c r="K28" s="346"/>
      <c r="L28" s="346"/>
      <c r="M28" s="346"/>
      <c r="N28" s="349"/>
      <c r="O28" s="350"/>
      <c r="P28" s="355"/>
      <c r="Q28" s="353"/>
    </row>
    <row r="29" spans="1:17" x14ac:dyDescent="0.25">
      <c r="A29" s="345" t="s">
        <v>53</v>
      </c>
      <c r="B29" s="391">
        <f>'Composite Cost Allocation'!G166</f>
        <v>1.0760000000000001</v>
      </c>
      <c r="C29" s="391">
        <f>'Composite Cost Allocation'!G174</f>
        <v>1.085</v>
      </c>
      <c r="D29" s="347" t="e">
        <f>ROUND(SUM($F$14*B29),6)</f>
        <v>#REF!</v>
      </c>
      <c r="E29" s="347" t="e">
        <f>ROUND(SUM($F$14*C29),6)</f>
        <v>#REF!</v>
      </c>
      <c r="F29" s="347"/>
      <c r="G29" s="347" t="e">
        <f>D29+F29</f>
        <v>#REF!</v>
      </c>
      <c r="H29" s="347" t="e">
        <f>E29</f>
        <v>#REF!</v>
      </c>
      <c r="I29" s="348">
        <f>0.004615</f>
        <v>4.6150000000000002E-3</v>
      </c>
      <c r="J29" s="347" t="e">
        <f>G29-$I29</f>
        <v>#REF!</v>
      </c>
      <c r="K29" s="347" t="e">
        <f>H29-$I29</f>
        <v>#REF!</v>
      </c>
      <c r="L29" s="347" t="e">
        <f>ROUND(SUM(J29*1.07),6)</f>
        <v>#REF!</v>
      </c>
      <c r="M29" s="347" t="e">
        <f>ROUND(SUM(K29*1.07),6)</f>
        <v>#REF!</v>
      </c>
      <c r="N29" s="349">
        <v>9.7319000000000003E-2</v>
      </c>
      <c r="O29" s="350">
        <v>9.5671999999999993E-2</v>
      </c>
      <c r="P29" s="351" t="e">
        <f>L29-N29</f>
        <v>#REF!</v>
      </c>
      <c r="Q29" s="352" t="e">
        <f>M29-O29</f>
        <v>#REF!</v>
      </c>
    </row>
    <row r="30" spans="1:17" x14ac:dyDescent="0.25">
      <c r="A30" s="345"/>
      <c r="B30" s="391"/>
      <c r="C30" s="391"/>
      <c r="D30" s="346"/>
      <c r="E30" s="346"/>
      <c r="F30" s="346"/>
      <c r="G30" s="346"/>
      <c r="H30" s="346"/>
      <c r="I30" s="348"/>
      <c r="J30" s="346"/>
      <c r="K30" s="346"/>
      <c r="L30" s="346"/>
      <c r="M30" s="346"/>
      <c r="N30" s="349"/>
      <c r="O30" s="350"/>
      <c r="P30" s="355"/>
      <c r="Q30" s="353"/>
    </row>
    <row r="31" spans="1:17" x14ac:dyDescent="0.25">
      <c r="A31" s="345" t="s">
        <v>346</v>
      </c>
      <c r="B31" s="391">
        <f>'Composite Cost Allocation'!H167</f>
        <v>1.82</v>
      </c>
      <c r="C31" s="391">
        <f>'Composite Cost Allocation'!H175</f>
        <v>1.5960000000000001</v>
      </c>
      <c r="D31" s="347" t="e">
        <f>ROUND(SUM($F$14*B31),6)</f>
        <v>#REF!</v>
      </c>
      <c r="E31" s="347" t="e">
        <f>ROUND(SUM($F$14*C31),6)</f>
        <v>#REF!</v>
      </c>
      <c r="F31" s="347"/>
      <c r="G31" s="347" t="e">
        <f>D31+F31</f>
        <v>#REF!</v>
      </c>
      <c r="H31" s="347" t="e">
        <f>E31</f>
        <v>#REF!</v>
      </c>
      <c r="I31" s="348">
        <f>0.00369</f>
        <v>3.6900000000000001E-3</v>
      </c>
      <c r="J31" s="347" t="e">
        <f>G31-$I31</f>
        <v>#REF!</v>
      </c>
      <c r="K31" s="347" t="e">
        <f>H31-$I31</f>
        <v>#REF!</v>
      </c>
      <c r="L31" s="347" t="e">
        <f>ROUND(SUM(J31*1.07),6)</f>
        <v>#REF!</v>
      </c>
      <c r="M31" s="347" t="e">
        <f>ROUND(SUM(K31*1.07),6)</f>
        <v>#REF!</v>
      </c>
      <c r="N31" s="349">
        <v>0.116967</v>
      </c>
      <c r="O31" s="350">
        <v>0.108917</v>
      </c>
      <c r="P31" s="351" t="e">
        <f>L31-N31</f>
        <v>#REF!</v>
      </c>
      <c r="Q31" s="352" t="e">
        <f>M31-O31</f>
        <v>#REF!</v>
      </c>
    </row>
    <row r="32" spans="1:17" x14ac:dyDescent="0.25">
      <c r="A32" s="345" t="s">
        <v>347</v>
      </c>
      <c r="B32" s="391">
        <f>'Composite Cost Allocation'!H168</f>
        <v>0.69799999999999995</v>
      </c>
      <c r="C32" s="391">
        <f>'Composite Cost Allocation'!H176</f>
        <v>0.72599999999999998</v>
      </c>
      <c r="D32" s="347" t="e">
        <f>ROUND(SUM($F$14*B32),6)</f>
        <v>#REF!</v>
      </c>
      <c r="E32" s="347" t="e">
        <f>ROUND(SUM($F$14*C32),6)</f>
        <v>#REF!</v>
      </c>
      <c r="F32" s="347"/>
      <c r="G32" s="347" t="e">
        <f>D32+F32</f>
        <v>#REF!</v>
      </c>
      <c r="H32" s="347" t="e">
        <f>E32</f>
        <v>#REF!</v>
      </c>
      <c r="I32" s="348">
        <f>0.00369</f>
        <v>3.6900000000000001E-3</v>
      </c>
      <c r="J32" s="347" t="e">
        <f>G32-$I32</f>
        <v>#REF!</v>
      </c>
      <c r="K32" s="347" t="e">
        <f>H32-$I32</f>
        <v>#REF!</v>
      </c>
      <c r="L32" s="347" t="e">
        <f>ROUND(SUM(J32*1.07),6)</f>
        <v>#REF!</v>
      </c>
      <c r="M32" s="347" t="e">
        <f>ROUND(SUM(K32*1.07),6)</f>
        <v>#REF!</v>
      </c>
      <c r="N32" s="349">
        <v>6.0624999999999998E-2</v>
      </c>
      <c r="O32" s="350">
        <v>6.2911999999999996E-2</v>
      </c>
      <c r="P32" s="351" t="e">
        <f>L32-N32</f>
        <v>#REF!</v>
      </c>
      <c r="Q32" s="352" t="e">
        <f>M32-O32</f>
        <v>#REF!</v>
      </c>
    </row>
    <row r="33" spans="1:17" x14ac:dyDescent="0.25">
      <c r="A33" s="345"/>
      <c r="B33" s="391"/>
      <c r="C33" s="391"/>
      <c r="D33" s="346"/>
      <c r="E33" s="346"/>
      <c r="F33" s="346"/>
      <c r="G33" s="346"/>
      <c r="H33" s="346"/>
      <c r="I33" s="348"/>
      <c r="J33" s="346"/>
      <c r="K33" s="346"/>
      <c r="L33" s="346"/>
      <c r="M33" s="346"/>
      <c r="N33" s="349"/>
      <c r="O33" s="350"/>
      <c r="P33" s="355"/>
      <c r="Q33" s="353"/>
    </row>
    <row r="34" spans="1:17" x14ac:dyDescent="0.25">
      <c r="A34" s="345" t="s">
        <v>55</v>
      </c>
      <c r="B34" s="391">
        <f>'Composite Cost Allocation'!I166</f>
        <v>0.72799999999999998</v>
      </c>
      <c r="C34" s="391">
        <f>'Composite Cost Allocation'!I174</f>
        <v>0.749</v>
      </c>
      <c r="D34" s="347" t="e">
        <f>ROUND(SUM($F$14*B34),6)</f>
        <v>#REF!</v>
      </c>
      <c r="E34" s="347" t="e">
        <f>ROUND(SUM($F$14*C34),6)</f>
        <v>#REF!</v>
      </c>
      <c r="F34" s="347"/>
      <c r="G34" s="347" t="e">
        <f>D34+F34</f>
        <v>#REF!</v>
      </c>
      <c r="H34" s="347" t="e">
        <f>E34</f>
        <v>#REF!</v>
      </c>
      <c r="I34" s="348">
        <f>0.003508</f>
        <v>3.5079999999999998E-3</v>
      </c>
      <c r="J34" s="347" t="e">
        <f>G34-$I34</f>
        <v>#REF!</v>
      </c>
      <c r="K34" s="347" t="e">
        <f>H34-$I34</f>
        <v>#REF!</v>
      </c>
      <c r="L34" s="347" t="e">
        <f>ROUND(SUM(J34*1.07),6)</f>
        <v>#REF!</v>
      </c>
      <c r="M34" s="347" t="e">
        <f>ROUND(SUM(K34*1.07),6)</f>
        <v>#REF!</v>
      </c>
      <c r="N34" s="356">
        <v>6.5027000000000001E-2</v>
      </c>
      <c r="O34" s="357">
        <v>6.6399E-2</v>
      </c>
      <c r="P34" s="358" t="e">
        <f>L34-N34</f>
        <v>#REF!</v>
      </c>
      <c r="Q34" s="359" t="e">
        <f>M34-O34</f>
        <v>#REF!</v>
      </c>
    </row>
    <row r="35" spans="1:17" x14ac:dyDescent="0.25">
      <c r="N35" s="360"/>
      <c r="O35" s="360"/>
      <c r="P35" s="360"/>
      <c r="Q35" s="360"/>
    </row>
    <row r="36" spans="1:17" x14ac:dyDescent="0.25">
      <c r="A36" s="119" t="s">
        <v>348</v>
      </c>
    </row>
    <row r="37" spans="1:17" x14ac:dyDescent="0.25">
      <c r="A37" s="361" t="s">
        <v>349</v>
      </c>
      <c r="B37" s="362"/>
      <c r="C37" s="362"/>
      <c r="D37" s="362"/>
      <c r="E37" s="362"/>
      <c r="F37" s="362"/>
      <c r="G37" s="362"/>
      <c r="H37" s="362"/>
      <c r="I37" s="362"/>
      <c r="J37" s="362"/>
    </row>
    <row r="38" spans="1:17" x14ac:dyDescent="0.25">
      <c r="A38" s="119"/>
    </row>
    <row r="39" spans="1:17" x14ac:dyDescent="0.25">
      <c r="A39" t="s">
        <v>350</v>
      </c>
    </row>
    <row r="40" spans="1:17" x14ac:dyDescent="0.25">
      <c r="A40" t="s">
        <v>351</v>
      </c>
    </row>
    <row r="41" spans="1:17" x14ac:dyDescent="0.25">
      <c r="A41" t="s">
        <v>352</v>
      </c>
    </row>
    <row r="42" spans="1:17" x14ac:dyDescent="0.25">
      <c r="A42" t="s">
        <v>353</v>
      </c>
    </row>
    <row r="43" spans="1:17" x14ac:dyDescent="0.25">
      <c r="A43" t="s">
        <v>354</v>
      </c>
    </row>
  </sheetData>
  <mergeCells count="12">
    <mergeCell ref="L17:M18"/>
    <mergeCell ref="N19:O19"/>
    <mergeCell ref="A7:M7"/>
    <mergeCell ref="A10:M10"/>
    <mergeCell ref="A11:M11"/>
    <mergeCell ref="A17:A19"/>
    <mergeCell ref="B17:C18"/>
    <mergeCell ref="D17:E18"/>
    <mergeCell ref="F17:F18"/>
    <mergeCell ref="G17:H18"/>
    <mergeCell ref="I17:I19"/>
    <mergeCell ref="J17:K18"/>
  </mergeCells>
  <pageMargins left="0.5" right="0.5" top="0.75" bottom="0.75" header="0.5" footer="0.5"/>
  <pageSetup scale="77" orientation="landscape" r:id="rId1"/>
  <headerFooter alignWithMargins="0">
    <oddFooter>&amp;C&amp;F
&amp;A</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93"/>
  <sheetViews>
    <sheetView workbookViewId="0"/>
  </sheetViews>
  <sheetFormatPr defaultRowHeight="13.2" x14ac:dyDescent="0.25"/>
  <cols>
    <col min="1" max="1" width="14.6640625" customWidth="1"/>
    <col min="2" max="2" width="13.109375" customWidth="1"/>
    <col min="3" max="3" width="13.6640625" customWidth="1"/>
    <col min="4" max="4" width="11.33203125" customWidth="1"/>
    <col min="5" max="5" width="11.109375" customWidth="1"/>
    <col min="6" max="6" width="12.33203125" customWidth="1"/>
    <col min="7" max="7" width="14.5546875" customWidth="1"/>
    <col min="8" max="8" width="12" customWidth="1"/>
    <col min="9" max="9" width="11.5546875" customWidth="1"/>
    <col min="10" max="10" width="12.88671875" customWidth="1"/>
    <col min="11" max="12" width="14.33203125" customWidth="1"/>
    <col min="13" max="13" width="14" customWidth="1"/>
    <col min="14" max="14" width="15" customWidth="1"/>
    <col min="15" max="15" width="10.88671875" customWidth="1"/>
    <col min="16" max="16" width="12.33203125" bestFit="1" customWidth="1"/>
    <col min="17" max="17" width="12" bestFit="1" customWidth="1"/>
    <col min="18" max="18" width="13.6640625" bestFit="1" customWidth="1"/>
  </cols>
  <sheetData>
    <row r="1" spans="1:14" x14ac:dyDescent="0.25">
      <c r="A1" t="e">
        <f>#REF!</f>
        <v>#REF!</v>
      </c>
    </row>
    <row r="2" spans="1:14" x14ac:dyDescent="0.25">
      <c r="A2" s="328">
        <f ca="1">NOW()</f>
        <v>42900.642662847225</v>
      </c>
    </row>
    <row r="3" spans="1:14" ht="15.6" x14ac:dyDescent="0.3">
      <c r="A3" s="328"/>
      <c r="K3" s="335"/>
    </row>
    <row r="4" spans="1:14" x14ac:dyDescent="0.25">
      <c r="A4" s="328"/>
    </row>
    <row r="5" spans="1:14" x14ac:dyDescent="0.25">
      <c r="A5" s="328"/>
    </row>
    <row r="6" spans="1:14" x14ac:dyDescent="0.25">
      <c r="A6" s="330"/>
    </row>
    <row r="7" spans="1:14" ht="15.6" x14ac:dyDescent="0.3">
      <c r="A7" s="544" t="s">
        <v>325</v>
      </c>
      <c r="B7" s="544"/>
      <c r="C7" s="544"/>
      <c r="D7" s="544"/>
      <c r="E7" s="544"/>
      <c r="F7" s="544"/>
      <c r="G7" s="544"/>
      <c r="H7" s="544"/>
      <c r="I7" s="544"/>
      <c r="J7" s="544"/>
      <c r="K7" s="544"/>
      <c r="L7" s="544"/>
      <c r="M7" s="544"/>
      <c r="N7" s="544"/>
    </row>
    <row r="8" spans="1:14" x14ac:dyDescent="0.25">
      <c r="A8" s="331"/>
      <c r="B8" s="331"/>
      <c r="C8" s="331"/>
    </row>
    <row r="9" spans="1:14" ht="15.6" x14ac:dyDescent="0.3">
      <c r="A9" s="545" t="s">
        <v>327</v>
      </c>
      <c r="B9" s="545"/>
      <c r="C9" s="545"/>
      <c r="D9" s="545"/>
      <c r="E9" s="545"/>
      <c r="F9" s="545"/>
      <c r="G9" s="545"/>
      <c r="H9" s="545"/>
      <c r="I9" s="545"/>
      <c r="J9" s="545"/>
      <c r="K9" s="545"/>
      <c r="L9" s="545"/>
      <c r="M9" s="545"/>
      <c r="N9" s="545"/>
    </row>
    <row r="11" spans="1:14" ht="15.6" x14ac:dyDescent="0.3">
      <c r="A11" s="551" t="s">
        <v>355</v>
      </c>
      <c r="B11" s="551"/>
      <c r="C11" s="551"/>
      <c r="D11" s="551"/>
      <c r="E11" s="551"/>
      <c r="F11" s="551"/>
      <c r="G11" s="551"/>
      <c r="H11" s="551"/>
      <c r="I11" s="551"/>
      <c r="J11" s="551"/>
      <c r="K11" s="551"/>
      <c r="L11" s="551"/>
      <c r="M11" s="551"/>
      <c r="N11" s="551"/>
    </row>
    <row r="12" spans="1:14" ht="18" customHeight="1" x14ac:dyDescent="0.4">
      <c r="A12" s="336"/>
      <c r="B12" s="336"/>
      <c r="C12" s="336"/>
      <c r="G12" s="363"/>
    </row>
    <row r="14" spans="1:14" x14ac:dyDescent="0.25">
      <c r="E14" s="329" t="s">
        <v>328</v>
      </c>
      <c r="F14" s="364" t="e">
        <f>'E &amp; C Prices'!F14</f>
        <v>#REF!</v>
      </c>
      <c r="G14" s="119" t="s">
        <v>329</v>
      </c>
    </row>
    <row r="15" spans="1:14" x14ac:dyDescent="0.25">
      <c r="C15" s="338"/>
    </row>
    <row r="16" spans="1:14" x14ac:dyDescent="0.25">
      <c r="A16" s="339"/>
      <c r="C16" s="338"/>
    </row>
    <row r="17" spans="1:15" ht="19.5" customHeight="1" x14ac:dyDescent="0.25">
      <c r="A17" s="547" t="s">
        <v>330</v>
      </c>
      <c r="B17" s="538" t="s">
        <v>356</v>
      </c>
      <c r="C17" s="539"/>
      <c r="D17" s="552" t="s">
        <v>385</v>
      </c>
      <c r="E17" s="539"/>
      <c r="F17" s="552" t="s">
        <v>384</v>
      </c>
      <c r="G17" s="539"/>
      <c r="H17" s="538" t="s">
        <v>357</v>
      </c>
      <c r="I17" s="539"/>
      <c r="J17" s="538" t="s">
        <v>358</v>
      </c>
      <c r="K17" s="539"/>
      <c r="L17" s="547" t="s">
        <v>359</v>
      </c>
      <c r="M17" s="538" t="s">
        <v>360</v>
      </c>
      <c r="N17" s="539"/>
    </row>
    <row r="18" spans="1:15" ht="20.25" customHeight="1" x14ac:dyDescent="0.25">
      <c r="A18" s="548"/>
      <c r="B18" s="540"/>
      <c r="C18" s="541"/>
      <c r="D18" s="540"/>
      <c r="E18" s="541"/>
      <c r="F18" s="540"/>
      <c r="G18" s="541"/>
      <c r="H18" s="540"/>
      <c r="I18" s="541"/>
      <c r="J18" s="540"/>
      <c r="K18" s="541"/>
      <c r="L18" s="548"/>
      <c r="M18" s="540"/>
      <c r="N18" s="541"/>
    </row>
    <row r="19" spans="1:15" ht="21.75" customHeight="1" x14ac:dyDescent="0.25">
      <c r="A19" s="549"/>
      <c r="B19" s="341" t="s">
        <v>25</v>
      </c>
      <c r="C19" s="342" t="s">
        <v>26</v>
      </c>
      <c r="D19" s="341" t="s">
        <v>25</v>
      </c>
      <c r="E19" s="342" t="s">
        <v>26</v>
      </c>
      <c r="F19" s="341" t="s">
        <v>25</v>
      </c>
      <c r="G19" s="342" t="s">
        <v>26</v>
      </c>
      <c r="H19" s="341" t="s">
        <v>25</v>
      </c>
      <c r="I19" s="342" t="s">
        <v>26</v>
      </c>
      <c r="J19" s="341" t="s">
        <v>25</v>
      </c>
      <c r="K19" s="342" t="s">
        <v>26</v>
      </c>
      <c r="L19" s="549"/>
      <c r="M19" s="341" t="s">
        <v>25</v>
      </c>
      <c r="N19" s="342" t="s">
        <v>26</v>
      </c>
    </row>
    <row r="20" spans="1:15" x14ac:dyDescent="0.25">
      <c r="A20" s="345" t="s">
        <v>340</v>
      </c>
      <c r="B20" s="393"/>
      <c r="C20" s="393">
        <f>'Composite Cost Allocation'!F116</f>
        <v>5157543000</v>
      </c>
      <c r="D20" s="347"/>
      <c r="E20" s="347" t="e">
        <f>'E &amp; C Prices'!H20</f>
        <v>#REF!</v>
      </c>
      <c r="F20" s="346"/>
      <c r="G20" s="365" t="e">
        <f>ROUND(E20*C20,0)</f>
        <v>#REF!</v>
      </c>
      <c r="H20" s="346"/>
      <c r="I20" s="347" t="e">
        <f>'E &amp; C Prices'!K20</f>
        <v>#REF!</v>
      </c>
      <c r="J20" s="346"/>
      <c r="K20" s="365" t="e">
        <f>ROUND(I20*C20,0)</f>
        <v>#REF!</v>
      </c>
      <c r="L20" s="348">
        <f>0.004627+0+0.002163</f>
        <v>6.79E-3</v>
      </c>
      <c r="M20" s="346"/>
      <c r="N20" s="365">
        <f>C20*$L20</f>
        <v>35019716.969999999</v>
      </c>
    </row>
    <row r="21" spans="1:15" x14ac:dyDescent="0.25">
      <c r="A21" s="345" t="s">
        <v>341</v>
      </c>
      <c r="B21" s="393">
        <f>'Composite Cost Allocation'!F113</f>
        <v>1937650000</v>
      </c>
      <c r="C21" s="393"/>
      <c r="D21" s="347" t="e">
        <f>'E &amp; C Prices'!G21</f>
        <v>#REF!</v>
      </c>
      <c r="E21" s="347"/>
      <c r="F21" s="365" t="e">
        <f>ROUND(D21*B21,0)</f>
        <v>#REF!</v>
      </c>
      <c r="G21" s="346"/>
      <c r="H21" s="347" t="e">
        <f>'E &amp; C Prices'!J21</f>
        <v>#REF!</v>
      </c>
      <c r="I21" s="346"/>
      <c r="J21" s="365" t="e">
        <f>ROUND(H21*B21,0)</f>
        <v>#REF!</v>
      </c>
      <c r="K21" s="346"/>
      <c r="L21" s="366">
        <f>L20</f>
        <v>6.79E-3</v>
      </c>
      <c r="M21" s="365">
        <f>B21*$L21</f>
        <v>13156643.5</v>
      </c>
      <c r="N21" s="346"/>
    </row>
    <row r="22" spans="1:15" x14ac:dyDescent="0.25">
      <c r="A22" s="345" t="s">
        <v>342</v>
      </c>
      <c r="B22" s="393">
        <f>'Composite Cost Allocation'!F114</f>
        <v>1725873000</v>
      </c>
      <c r="C22" s="393"/>
      <c r="D22" s="347" t="e">
        <f>'E &amp; C Prices'!G22</f>
        <v>#REF!</v>
      </c>
      <c r="E22" s="347"/>
      <c r="F22" s="365" t="e">
        <f>ROUND(D22*B22,0)</f>
        <v>#REF!</v>
      </c>
      <c r="G22" s="346"/>
      <c r="H22" s="347" t="e">
        <f>'E &amp; C Prices'!J22</f>
        <v>#REF!</v>
      </c>
      <c r="I22" s="346"/>
      <c r="J22" s="365" t="e">
        <f>ROUND(H22*B22,0)</f>
        <v>#REF!</v>
      </c>
      <c r="K22" s="346"/>
      <c r="L22" s="366">
        <f>L20</f>
        <v>6.79E-3</v>
      </c>
      <c r="M22" s="365">
        <f>B22*$L22</f>
        <v>11718677.67</v>
      </c>
      <c r="N22" s="346"/>
    </row>
    <row r="23" spans="1:15" x14ac:dyDescent="0.25">
      <c r="A23" s="345"/>
      <c r="B23" s="393"/>
      <c r="C23" s="393"/>
      <c r="D23" s="347"/>
      <c r="E23" s="347"/>
      <c r="F23" s="346"/>
      <c r="G23" s="346"/>
      <c r="H23" s="346"/>
      <c r="I23" s="346"/>
      <c r="J23" s="346"/>
      <c r="K23" s="346"/>
      <c r="L23" s="348"/>
      <c r="M23" s="346"/>
      <c r="N23" s="346"/>
    </row>
    <row r="24" spans="1:15" x14ac:dyDescent="0.25">
      <c r="A24" s="345" t="s">
        <v>343</v>
      </c>
      <c r="B24" s="393">
        <f>'Composite Cost Allocation'!E111</f>
        <v>30286611</v>
      </c>
      <c r="C24" s="393">
        <f>'Composite Cost Allocation'!E117</f>
        <v>55263715.358677089</v>
      </c>
      <c r="D24" s="347" t="e">
        <f>'E &amp; C Prices'!G24</f>
        <v>#REF!</v>
      </c>
      <c r="E24" s="347" t="e">
        <f>'E &amp; C Prices'!H24</f>
        <v>#REF!</v>
      </c>
      <c r="F24" s="365" t="e">
        <f>ROUND(D24*B24,0)</f>
        <v>#REF!</v>
      </c>
      <c r="G24" s="365" t="e">
        <f>ROUND(E24*C24,0)</f>
        <v>#REF!</v>
      </c>
      <c r="H24" s="347" t="e">
        <f>'E &amp; C Prices'!J24</f>
        <v>#REF!</v>
      </c>
      <c r="I24" s="347" t="e">
        <f>'E &amp; C Prices'!K24</f>
        <v>#REF!</v>
      </c>
      <c r="J24" s="365" t="e">
        <f>ROUND(H24*B24,0)</f>
        <v>#REF!</v>
      </c>
      <c r="K24" s="365" t="e">
        <f>ROUND(I24*C24,0)</f>
        <v>#REF!</v>
      </c>
      <c r="L24" s="348">
        <f>0.003842+0+0.002163</f>
        <v>6.0049999999999999E-3</v>
      </c>
      <c r="M24" s="365">
        <f>B24*$L24</f>
        <v>181871.099055</v>
      </c>
      <c r="N24" s="365">
        <f>C24*$L24</f>
        <v>331858.61072885594</v>
      </c>
    </row>
    <row r="25" spans="1:15" x14ac:dyDescent="0.25">
      <c r="A25" s="345" t="s">
        <v>344</v>
      </c>
      <c r="B25" s="393">
        <f>'Composite Cost Allocation'!E112</f>
        <v>43822966.520106003</v>
      </c>
      <c r="C25" s="393">
        <f>'Composite Cost Allocation'!E118</f>
        <v>100382711.71279192</v>
      </c>
      <c r="D25" s="347" t="e">
        <f>'E &amp; C Prices'!G25</f>
        <v>#REF!</v>
      </c>
      <c r="E25" s="347" t="e">
        <f>'E &amp; C Prices'!H25</f>
        <v>#REF!</v>
      </c>
      <c r="F25" s="365" t="e">
        <f>ROUND(D25*B25,0)</f>
        <v>#REF!</v>
      </c>
      <c r="G25" s="365" t="e">
        <f>ROUND(E25*C25,0)</f>
        <v>#REF!</v>
      </c>
      <c r="H25" s="347" t="e">
        <f>'E &amp; C Prices'!J25</f>
        <v>#REF!</v>
      </c>
      <c r="I25" s="347" t="e">
        <f>'E &amp; C Prices'!K25</f>
        <v>#REF!</v>
      </c>
      <c r="J25" s="365" t="e">
        <f>ROUND(H25*B25,0)</f>
        <v>#REF!</v>
      </c>
      <c r="K25" s="365" t="e">
        <f>ROUND(I25*C25,0)</f>
        <v>#REF!</v>
      </c>
      <c r="L25" s="366">
        <f>L24</f>
        <v>6.0049999999999999E-3</v>
      </c>
      <c r="M25" s="365">
        <f>B25*$L25</f>
        <v>263156.91395323654</v>
      </c>
      <c r="N25" s="365">
        <f>C25*$L25</f>
        <v>602798.18383531552</v>
      </c>
    </row>
    <row r="26" spans="1:15" x14ac:dyDescent="0.25">
      <c r="A26" s="345"/>
      <c r="B26" s="393"/>
      <c r="C26" s="393"/>
      <c r="D26" s="347"/>
      <c r="E26" s="347"/>
      <c r="F26" s="365"/>
      <c r="G26" s="365"/>
      <c r="H26" s="347"/>
      <c r="I26" s="347"/>
      <c r="J26" s="365"/>
      <c r="K26" s="365"/>
      <c r="L26" s="348"/>
      <c r="M26" s="365"/>
      <c r="N26" s="365"/>
    </row>
    <row r="27" spans="1:15" x14ac:dyDescent="0.25">
      <c r="A27" s="345" t="s">
        <v>345</v>
      </c>
      <c r="B27" s="393">
        <f>'Composite Cost Allocation'!E110</f>
        <v>2080422.4798940001</v>
      </c>
      <c r="C27" s="393">
        <f>'Composite Cost Allocation'!E116</f>
        <v>4242572.9285309995</v>
      </c>
      <c r="D27" s="347" t="e">
        <f>'E &amp; C Prices'!G27</f>
        <v>#REF!</v>
      </c>
      <c r="E27" s="347" t="e">
        <f>'E &amp; C Prices'!H27</f>
        <v>#REF!</v>
      </c>
      <c r="F27" s="365" t="e">
        <f>ROUND(D27*B27,0)</f>
        <v>#REF!</v>
      </c>
      <c r="G27" s="365" t="e">
        <f>ROUND(E27*C27,0)</f>
        <v>#REF!</v>
      </c>
      <c r="H27" s="347" t="e">
        <f>'E &amp; C Prices'!J27</f>
        <v>#REF!</v>
      </c>
      <c r="I27" s="347" t="e">
        <f>'E &amp; C Prices'!K27</f>
        <v>#REF!</v>
      </c>
      <c r="J27" s="365" t="e">
        <f>ROUND(H27*B27,0)</f>
        <v>#REF!</v>
      </c>
      <c r="K27" s="365" t="e">
        <f>ROUND(I27*C27,0)</f>
        <v>#REF!</v>
      </c>
      <c r="L27" s="366">
        <f>L24</f>
        <v>6.0049999999999999E-3</v>
      </c>
      <c r="M27" s="365">
        <f>B27*$L27</f>
        <v>12492.93699176347</v>
      </c>
      <c r="N27" s="365">
        <f>C27*$L27</f>
        <v>25476.650435828651</v>
      </c>
      <c r="O27" t="s">
        <v>256</v>
      </c>
    </row>
    <row r="28" spans="1:15" x14ac:dyDescent="0.25">
      <c r="A28" s="345"/>
      <c r="B28" s="393"/>
      <c r="C28" s="393"/>
      <c r="D28" s="347"/>
      <c r="E28" s="347"/>
      <c r="F28" s="365"/>
      <c r="G28" s="365"/>
      <c r="H28" s="347"/>
      <c r="I28" s="347"/>
      <c r="J28" s="365"/>
      <c r="K28" s="365"/>
      <c r="L28" s="348"/>
      <c r="M28" s="365"/>
      <c r="N28" s="365"/>
    </row>
    <row r="29" spans="1:15" x14ac:dyDescent="0.25">
      <c r="A29" s="345" t="s">
        <v>53</v>
      </c>
      <c r="B29" s="393">
        <f>'Composite Cost Allocation'!G110</f>
        <v>2187580000</v>
      </c>
      <c r="C29" s="393">
        <f>'Composite Cost Allocation'!G116</f>
        <v>3796476000</v>
      </c>
      <c r="D29" s="347" t="e">
        <f>'E &amp; C Prices'!G29</f>
        <v>#REF!</v>
      </c>
      <c r="E29" s="347" t="e">
        <f>'E &amp; C Prices'!H29</f>
        <v>#REF!</v>
      </c>
      <c r="F29" s="365" t="e">
        <f>ROUND(D29*B29,0)</f>
        <v>#REF!</v>
      </c>
      <c r="G29" s="365" t="e">
        <f>ROUND(E29*C29,0)</f>
        <v>#REF!</v>
      </c>
      <c r="H29" s="347" t="e">
        <f>'E &amp; C Prices'!J29</f>
        <v>#REF!</v>
      </c>
      <c r="I29" s="347" t="e">
        <f>'E &amp; C Prices'!K29</f>
        <v>#REF!</v>
      </c>
      <c r="J29" s="365" t="e">
        <f>ROUND(H29*B29,0)</f>
        <v>#REF!</v>
      </c>
      <c r="K29" s="365" t="e">
        <f>ROUND(I29*C29,0)</f>
        <v>#REF!</v>
      </c>
      <c r="L29" s="348">
        <f>0.004615+0+0.002163</f>
        <v>6.7780000000000002E-3</v>
      </c>
      <c r="M29" s="365">
        <f>B29*$L29</f>
        <v>14827417.24</v>
      </c>
      <c r="N29" s="365">
        <f>C29*$L29</f>
        <v>25732514.328000002</v>
      </c>
    </row>
    <row r="30" spans="1:15" x14ac:dyDescent="0.25">
      <c r="A30" s="345"/>
      <c r="B30" s="393"/>
      <c r="C30" s="393"/>
      <c r="D30" s="347"/>
      <c r="E30" s="347"/>
      <c r="F30" s="346"/>
      <c r="G30" s="346"/>
      <c r="H30" s="346"/>
      <c r="I30" s="346"/>
      <c r="J30" s="365"/>
      <c r="K30" s="346"/>
      <c r="L30" s="348"/>
      <c r="M30" s="346"/>
      <c r="N30" s="346"/>
    </row>
    <row r="31" spans="1:15" x14ac:dyDescent="0.25">
      <c r="A31" s="345" t="s">
        <v>346</v>
      </c>
      <c r="B31" s="393">
        <f>'Composite Cost Allocation'!H111</f>
        <v>15200926.100000001</v>
      </c>
      <c r="C31" s="393">
        <f>'Composite Cost Allocation'!H117</f>
        <v>37452340.899999999</v>
      </c>
      <c r="D31" s="347" t="e">
        <f>'E &amp; C Prices'!G31</f>
        <v>#REF!</v>
      </c>
      <c r="E31" s="347" t="e">
        <f>'E &amp; C Prices'!H31</f>
        <v>#REF!</v>
      </c>
      <c r="F31" s="365" t="e">
        <f>ROUND(D31*B31,0)</f>
        <v>#REF!</v>
      </c>
      <c r="G31" s="365" t="e">
        <f>ROUND(E31*C31,0)</f>
        <v>#REF!</v>
      </c>
      <c r="H31" s="347" t="e">
        <f>'E &amp; C Prices'!J31</f>
        <v>#REF!</v>
      </c>
      <c r="I31" s="347" t="e">
        <f>'E &amp; C Prices'!K31</f>
        <v>#REF!</v>
      </c>
      <c r="J31" s="365" t="e">
        <f>ROUND(H31*B31,0)</f>
        <v>#REF!</v>
      </c>
      <c r="K31" s="365" t="e">
        <f>ROUND(I31*C31,0)</f>
        <v>#REF!</v>
      </c>
      <c r="L31" s="348">
        <f>0.00369+0+0.002163</f>
        <v>5.8530000000000006E-3</v>
      </c>
      <c r="M31" s="365">
        <f>B31*$L31</f>
        <v>88971.02046330001</v>
      </c>
      <c r="N31" s="365">
        <f>C31*$L31</f>
        <v>219208.55128770001</v>
      </c>
    </row>
    <row r="32" spans="1:15" x14ac:dyDescent="0.25">
      <c r="A32" s="345" t="s">
        <v>347</v>
      </c>
      <c r="B32" s="393">
        <f>'Composite Cost Allocation'!H112</f>
        <v>17415073.899999999</v>
      </c>
      <c r="C32" s="393">
        <f>'Composite Cost Allocation'!H118</f>
        <v>47954659.100000001</v>
      </c>
      <c r="D32" s="347" t="e">
        <f>'E &amp; C Prices'!G32</f>
        <v>#REF!</v>
      </c>
      <c r="E32" s="347" t="e">
        <f>'E &amp; C Prices'!H32</f>
        <v>#REF!</v>
      </c>
      <c r="F32" s="365" t="e">
        <f>ROUND(D32*B32,0)</f>
        <v>#REF!</v>
      </c>
      <c r="G32" s="365" t="e">
        <f>ROUND(E32*C32,0)</f>
        <v>#REF!</v>
      </c>
      <c r="H32" s="347" t="e">
        <f>'E &amp; C Prices'!J32</f>
        <v>#REF!</v>
      </c>
      <c r="I32" s="347" t="e">
        <f>'E &amp; C Prices'!K32</f>
        <v>#REF!</v>
      </c>
      <c r="J32" s="365" t="e">
        <f>ROUND(H32*B32,0)</f>
        <v>#REF!</v>
      </c>
      <c r="K32" s="365" t="e">
        <f>ROUND(I32*C32,0)</f>
        <v>#REF!</v>
      </c>
      <c r="L32" s="348">
        <f>0.00369+0+0.002163</f>
        <v>5.8530000000000006E-3</v>
      </c>
      <c r="M32" s="365">
        <f>B32*$L32</f>
        <v>101930.42753670001</v>
      </c>
      <c r="N32" s="365">
        <f>C32*$L32</f>
        <v>280678.61971230002</v>
      </c>
    </row>
    <row r="33" spans="1:17" x14ac:dyDescent="0.25">
      <c r="A33" s="345"/>
      <c r="B33" s="393"/>
      <c r="C33" s="393"/>
      <c r="D33" s="347"/>
      <c r="E33" s="347"/>
      <c r="F33" s="346"/>
      <c r="G33" s="346"/>
      <c r="H33" s="346"/>
      <c r="I33" s="346"/>
      <c r="J33" s="365"/>
      <c r="K33" s="346"/>
      <c r="L33" s="348"/>
      <c r="M33" s="346"/>
      <c r="N33" s="346"/>
    </row>
    <row r="34" spans="1:17" x14ac:dyDescent="0.25">
      <c r="A34" s="345" t="s">
        <v>55</v>
      </c>
      <c r="B34" s="393">
        <f>'Composite Cost Allocation'!I110</f>
        <v>38075000</v>
      </c>
      <c r="C34" s="393">
        <f>'Composite Cost Allocation'!I116</f>
        <v>76214000</v>
      </c>
      <c r="D34" s="347" t="e">
        <f>'E &amp; C Prices'!G34</f>
        <v>#REF!</v>
      </c>
      <c r="E34" s="347" t="e">
        <f>'E &amp; C Prices'!H34</f>
        <v>#REF!</v>
      </c>
      <c r="F34" s="365" t="e">
        <f>ROUND(D34*B34,0)</f>
        <v>#REF!</v>
      </c>
      <c r="G34" s="365" t="e">
        <f>ROUND(E34*C34,0)</f>
        <v>#REF!</v>
      </c>
      <c r="H34" s="347" t="e">
        <f>'E &amp; C Prices'!J34</f>
        <v>#REF!</v>
      </c>
      <c r="I34" s="347" t="e">
        <f>'E &amp; C Prices'!K34</f>
        <v>#REF!</v>
      </c>
      <c r="J34" s="365" t="e">
        <f>ROUND(H34*B34,0)</f>
        <v>#REF!</v>
      </c>
      <c r="K34" s="365" t="e">
        <f>ROUND(I34*C34,0)</f>
        <v>#REF!</v>
      </c>
      <c r="L34" s="348">
        <f>0.003508+0</f>
        <v>3.5079999999999998E-3</v>
      </c>
      <c r="M34" s="365">
        <f>B34*$L34</f>
        <v>133567.1</v>
      </c>
      <c r="N34" s="365">
        <f>C34*$L34</f>
        <v>267358.712</v>
      </c>
      <c r="O34" s="333" t="s">
        <v>256</v>
      </c>
    </row>
    <row r="35" spans="1:17" x14ac:dyDescent="0.25">
      <c r="A35" s="332"/>
      <c r="B35" s="367">
        <f>SUM(B20:B34)</f>
        <v>5997984000</v>
      </c>
      <c r="C35" s="367">
        <f>SUM(C20:C34)</f>
        <v>9275529000</v>
      </c>
      <c r="D35" s="368"/>
      <c r="E35" s="368"/>
      <c r="F35" s="369"/>
      <c r="G35" s="369"/>
      <c r="H35" s="368"/>
      <c r="I35" s="368"/>
      <c r="J35" s="369" t="e">
        <f>SUM(J20:J34)</f>
        <v>#REF!</v>
      </c>
      <c r="K35" s="369" t="e">
        <f>SUM(K20:K34)</f>
        <v>#REF!</v>
      </c>
      <c r="L35" s="368"/>
      <c r="M35" s="369"/>
      <c r="N35" s="369"/>
    </row>
    <row r="36" spans="1:17" x14ac:dyDescent="0.25">
      <c r="A36" s="164"/>
      <c r="B36" s="367"/>
      <c r="C36" s="367">
        <f>B35+C35</f>
        <v>15273513000</v>
      </c>
      <c r="D36" s="368"/>
      <c r="E36" s="368"/>
      <c r="F36" s="368"/>
      <c r="G36" s="370"/>
      <c r="H36" s="368"/>
      <c r="I36" s="368"/>
      <c r="J36" s="369"/>
      <c r="K36" s="369" t="e">
        <f>J35+K35</f>
        <v>#REF!</v>
      </c>
      <c r="N36" s="370"/>
    </row>
    <row r="37" spans="1:17" s="47" customFormat="1" x14ac:dyDescent="0.25">
      <c r="B37" s="115"/>
      <c r="C37" s="115"/>
      <c r="D37" s="394"/>
      <c r="E37" s="394"/>
      <c r="F37" s="394"/>
      <c r="G37" s="374"/>
      <c r="H37" s="394"/>
      <c r="I37" s="395"/>
      <c r="J37" s="396"/>
      <c r="K37" s="395"/>
      <c r="L37" s="372"/>
      <c r="M37" s="373"/>
      <c r="N37" s="395"/>
    </row>
    <row r="38" spans="1:17" s="47" customFormat="1" x14ac:dyDescent="0.25">
      <c r="A38" s="164"/>
      <c r="B38" s="115"/>
      <c r="C38" s="115"/>
      <c r="D38" s="397"/>
      <c r="E38" s="394"/>
      <c r="F38" s="394"/>
      <c r="G38" s="374"/>
      <c r="H38" s="394"/>
      <c r="I38" s="394"/>
      <c r="J38" s="394"/>
      <c r="K38" s="374"/>
      <c r="L38" s="374"/>
      <c r="M38" s="374"/>
      <c r="N38" s="374"/>
    </row>
    <row r="39" spans="1:17" s="47" customFormat="1" x14ac:dyDescent="0.25">
      <c r="A39" s="164"/>
      <c r="B39" s="115"/>
      <c r="C39" s="115"/>
      <c r="D39" s="394"/>
      <c r="E39" s="394"/>
      <c r="F39" s="394"/>
      <c r="G39" s="374"/>
      <c r="H39" s="394"/>
      <c r="I39" s="394"/>
      <c r="J39" s="398"/>
      <c r="K39" s="395"/>
      <c r="L39" s="372"/>
      <c r="M39" s="373"/>
      <c r="N39" s="395"/>
    </row>
    <row r="40" spans="1:17" s="47" customFormat="1" x14ac:dyDescent="0.25">
      <c r="A40" s="164"/>
      <c r="B40" s="115"/>
      <c r="C40" s="115"/>
      <c r="D40" s="397"/>
      <c r="E40" s="394"/>
      <c r="F40" s="394"/>
      <c r="G40" s="374"/>
      <c r="H40" s="394"/>
      <c r="I40" s="394"/>
      <c r="J40" s="394"/>
      <c r="K40" s="374"/>
      <c r="L40" s="374"/>
      <c r="M40" s="374"/>
      <c r="N40" s="374"/>
    </row>
    <row r="41" spans="1:17" s="47" customFormat="1" x14ac:dyDescent="0.25">
      <c r="B41" s="115"/>
      <c r="C41" s="115"/>
      <c r="D41" s="394"/>
      <c r="E41" s="394"/>
      <c r="F41" s="394"/>
      <c r="G41" s="374"/>
      <c r="H41" s="394"/>
      <c r="I41" s="394"/>
      <c r="J41" s="398"/>
      <c r="K41" s="395"/>
      <c r="L41" s="372"/>
      <c r="M41" s="373"/>
      <c r="N41" s="395"/>
    </row>
    <row r="42" spans="1:17" s="47" customFormat="1" x14ac:dyDescent="0.25">
      <c r="A42" s="164"/>
      <c r="B42" s="115"/>
      <c r="C42" s="115"/>
      <c r="D42" s="394"/>
      <c r="E42" s="394"/>
      <c r="F42" s="394"/>
      <c r="G42" s="374"/>
      <c r="H42" s="394"/>
      <c r="I42" s="394"/>
      <c r="J42" s="398"/>
      <c r="K42" s="374"/>
      <c r="M42" s="166"/>
      <c r="N42" s="374"/>
    </row>
    <row r="43" spans="1:17" s="47" customFormat="1" x14ac:dyDescent="0.25">
      <c r="B43" s="115"/>
      <c r="C43" s="115"/>
      <c r="D43" s="394"/>
      <c r="E43" s="394"/>
      <c r="F43" s="394"/>
      <c r="G43" s="374"/>
      <c r="H43" s="394"/>
      <c r="I43" s="394"/>
      <c r="J43" s="398"/>
      <c r="K43" s="395"/>
      <c r="M43" s="166"/>
      <c r="N43" s="395"/>
    </row>
    <row r="44" spans="1:17" x14ac:dyDescent="0.25">
      <c r="A44" s="47"/>
      <c r="B44" s="367"/>
      <c r="C44" s="367"/>
      <c r="D44" s="368"/>
      <c r="E44" s="368"/>
      <c r="F44" s="368"/>
      <c r="G44" s="370"/>
      <c r="H44" s="368"/>
      <c r="I44" s="368"/>
      <c r="J44" s="368"/>
      <c r="K44" s="370"/>
      <c r="N44" s="370"/>
    </row>
    <row r="45" spans="1:17" x14ac:dyDescent="0.25">
      <c r="A45" s="375" t="s">
        <v>164</v>
      </c>
      <c r="B45" s="367"/>
      <c r="C45" s="367">
        <f>SUM(B20:C34)</f>
        <v>15273513000</v>
      </c>
      <c r="D45" s="368"/>
      <c r="E45" s="368"/>
      <c r="F45" s="368"/>
      <c r="G45" s="369" t="e">
        <f>SUM(F20:G34)</f>
        <v>#REF!</v>
      </c>
      <c r="H45" s="368"/>
      <c r="I45" s="368"/>
      <c r="J45" s="368"/>
      <c r="K45" s="369" t="e">
        <f>SUM(J20:K34)</f>
        <v>#REF!</v>
      </c>
      <c r="N45" s="369">
        <f>SUM(M20:N34)</f>
        <v>102964338.53399996</v>
      </c>
      <c r="O45" s="376" t="s">
        <v>256</v>
      </c>
      <c r="P45" s="376" t="e">
        <f>K45+N45-G45</f>
        <v>#REF!</v>
      </c>
      <c r="Q45" t="s">
        <v>361</v>
      </c>
    </row>
    <row r="46" spans="1:17" x14ac:dyDescent="0.25">
      <c r="B46" s="367"/>
      <c r="C46" s="367"/>
      <c r="D46" s="377"/>
      <c r="E46" s="377"/>
      <c r="F46" s="378" t="s">
        <v>362</v>
      </c>
      <c r="G46" s="371" t="e">
        <f>G45/C45</f>
        <v>#REF!</v>
      </c>
      <c r="H46" s="368"/>
      <c r="I46" s="368"/>
      <c r="K46" s="376" t="s">
        <v>256</v>
      </c>
      <c r="L46" t="s">
        <v>256</v>
      </c>
      <c r="M46" t="s">
        <v>256</v>
      </c>
      <c r="N46" s="376" t="s">
        <v>256</v>
      </c>
    </row>
    <row r="47" spans="1:17" x14ac:dyDescent="0.25">
      <c r="B47" s="367"/>
      <c r="C47" s="367"/>
      <c r="D47" s="377"/>
      <c r="E47" s="377"/>
      <c r="F47" s="378"/>
      <c r="G47" s="379"/>
      <c r="H47" s="368"/>
      <c r="I47" s="368"/>
      <c r="K47" s="380"/>
      <c r="N47" s="380"/>
    </row>
    <row r="48" spans="1:17" x14ac:dyDescent="0.25">
      <c r="D48" s="1"/>
      <c r="E48" s="1"/>
      <c r="F48" s="1"/>
      <c r="G48" s="1"/>
      <c r="J48" s="378" t="s">
        <v>363</v>
      </c>
      <c r="K48" s="371" t="e">
        <f>K45/C45</f>
        <v>#REF!</v>
      </c>
      <c r="M48" s="378" t="s">
        <v>364</v>
      </c>
      <c r="N48" s="371">
        <f>N45/C45</f>
        <v>6.7413658229118585E-3</v>
      </c>
    </row>
    <row r="49" spans="1:15" x14ac:dyDescent="0.25">
      <c r="D49" s="1"/>
      <c r="E49" s="1"/>
      <c r="F49" s="1"/>
      <c r="G49" s="1"/>
      <c r="J49" s="378"/>
      <c r="K49" s="379"/>
    </row>
    <row r="50" spans="1:15" x14ac:dyDescent="0.25">
      <c r="A50" s="119" t="s">
        <v>326</v>
      </c>
      <c r="O50" s="338" t="s">
        <v>256</v>
      </c>
    </row>
    <row r="51" spans="1:15" x14ac:dyDescent="0.25">
      <c r="A51" s="93" t="s">
        <v>365</v>
      </c>
      <c r="B51" s="13"/>
      <c r="C51" s="13"/>
      <c r="D51" s="13"/>
      <c r="E51" s="13"/>
      <c r="F51" s="13"/>
      <c r="G51" s="381" t="e">
        <f>G46/F14</f>
        <v>#REF!</v>
      </c>
      <c r="N51" s="382" t="s">
        <v>256</v>
      </c>
    </row>
    <row r="52" spans="1:15" x14ac:dyDescent="0.25">
      <c r="A52" t="s">
        <v>366</v>
      </c>
    </row>
    <row r="53" spans="1:15" x14ac:dyDescent="0.25">
      <c r="A53" t="s">
        <v>350</v>
      </c>
    </row>
    <row r="54" spans="1:15" x14ac:dyDescent="0.25">
      <c r="A54" t="s">
        <v>351</v>
      </c>
    </row>
    <row r="55" spans="1:15" x14ac:dyDescent="0.25">
      <c r="A55" t="s">
        <v>367</v>
      </c>
    </row>
    <row r="56" spans="1:15" x14ac:dyDescent="0.25">
      <c r="A56" t="s">
        <v>368</v>
      </c>
    </row>
    <row r="57" spans="1:15" hidden="1" x14ac:dyDescent="0.25"/>
    <row r="58" spans="1:15" hidden="1" x14ac:dyDescent="0.25">
      <c r="A58" s="383" t="s">
        <v>369</v>
      </c>
      <c r="B58" s="384"/>
      <c r="G58" s="550" t="s">
        <v>370</v>
      </c>
      <c r="H58" s="550"/>
      <c r="I58" s="550"/>
    </row>
    <row r="59" spans="1:15" hidden="1" x14ac:dyDescent="0.25">
      <c r="G59" s="8" t="s">
        <v>371</v>
      </c>
      <c r="H59" s="8" t="s">
        <v>26</v>
      </c>
      <c r="I59" s="8" t="s">
        <v>13</v>
      </c>
    </row>
    <row r="60" spans="1:15" hidden="1" x14ac:dyDescent="0.25">
      <c r="F60" t="s">
        <v>372</v>
      </c>
      <c r="G60" s="4">
        <f>SUM(B20:B34)*1.118</f>
        <v>6705746112.000001</v>
      </c>
      <c r="H60" s="4">
        <f>SUM(C20:C34)*1.118</f>
        <v>10370041422.000002</v>
      </c>
      <c r="I60" s="4">
        <f>SUM(G60:H60)</f>
        <v>17075787534.000004</v>
      </c>
    </row>
    <row r="61" spans="1:15" hidden="1" x14ac:dyDescent="0.25">
      <c r="G61" s="4"/>
      <c r="H61" s="4"/>
      <c r="I61" s="4"/>
    </row>
    <row r="62" spans="1:15" hidden="1" x14ac:dyDescent="0.25">
      <c r="A62" s="4"/>
      <c r="C62" s="4"/>
      <c r="F62" s="306" t="s">
        <v>373</v>
      </c>
      <c r="G62">
        <v>1.2303999999999999</v>
      </c>
      <c r="H62">
        <v>0.93659999999999999</v>
      </c>
    </row>
    <row r="63" spans="1:15" hidden="1" x14ac:dyDescent="0.25">
      <c r="A63" s="4"/>
      <c r="C63" s="4"/>
      <c r="F63" s="306" t="s">
        <v>374</v>
      </c>
      <c r="G63">
        <v>1.1936</v>
      </c>
      <c r="H63">
        <v>0.88009999999999999</v>
      </c>
    </row>
    <row r="64" spans="1:15" hidden="1" x14ac:dyDescent="0.25">
      <c r="A64" s="4"/>
      <c r="C64" s="4"/>
      <c r="F64" s="306" t="s">
        <v>375</v>
      </c>
      <c r="G64">
        <v>1.1936</v>
      </c>
      <c r="H64">
        <v>0.88009999999999999</v>
      </c>
    </row>
    <row r="65" spans="1:14" hidden="1" x14ac:dyDescent="0.25">
      <c r="A65" s="4"/>
      <c r="C65" s="4"/>
      <c r="F65" s="306"/>
    </row>
    <row r="66" spans="1:14" hidden="1" x14ac:dyDescent="0.25">
      <c r="F66" s="306" t="s">
        <v>376</v>
      </c>
      <c r="G66" s="369" t="e">
        <f>G62*G$60*(#REF!/1000)*#REF!/#REF!</f>
        <v>#REF!</v>
      </c>
      <c r="H66" s="369" t="e">
        <f>H62*H$60*(#REF!/1000)*#REF!/#REF!</f>
        <v>#REF!</v>
      </c>
      <c r="I66" s="376" t="e">
        <f>SUM(G66:H66)</f>
        <v>#REF!</v>
      </c>
    </row>
    <row r="67" spans="1:14" hidden="1" x14ac:dyDescent="0.25">
      <c r="A67" s="4"/>
      <c r="F67" s="306" t="s">
        <v>377</v>
      </c>
      <c r="G67" s="369" t="e">
        <f>G63*G$60*(#REF!/1000)*#REF!/#REF!</f>
        <v>#REF!</v>
      </c>
      <c r="H67" s="369" t="e">
        <f>H63*H$60*(#REF!/1000)*#REF!/#REF!</f>
        <v>#REF!</v>
      </c>
      <c r="I67" s="376" t="e">
        <f>SUM(G67:H67)</f>
        <v>#REF!</v>
      </c>
    </row>
    <row r="68" spans="1:14" hidden="1" x14ac:dyDescent="0.25">
      <c r="A68" s="4"/>
      <c r="F68" s="306" t="s">
        <v>378</v>
      </c>
      <c r="G68" s="369" t="e">
        <f>G64*G$60*(#REF!/1000)*#REF!/#REF!</f>
        <v>#REF!</v>
      </c>
      <c r="H68" s="369" t="e">
        <f>H64*H$60*(#REF!/1000)*#REF!/#REF!</f>
        <v>#REF!</v>
      </c>
      <c r="I68" s="376" t="e">
        <f>SUM(G68:H68)</f>
        <v>#REF!</v>
      </c>
    </row>
    <row r="69" spans="1:14" hidden="1" x14ac:dyDescent="0.25">
      <c r="A69" s="4"/>
      <c r="F69" s="306" t="s">
        <v>379</v>
      </c>
      <c r="G69" s="376" t="e">
        <f>SUM(G66:G68)</f>
        <v>#REF!</v>
      </c>
      <c r="H69" s="376" t="e">
        <f>SUM(H66:H68)</f>
        <v>#REF!</v>
      </c>
      <c r="I69" s="376" t="e">
        <f>SUM(G69:H69)</f>
        <v>#REF!</v>
      </c>
    </row>
    <row r="70" spans="1:14" hidden="1" x14ac:dyDescent="0.25">
      <c r="A70" s="4"/>
      <c r="F70" s="306"/>
    </row>
    <row r="71" spans="1:14" hidden="1" x14ac:dyDescent="0.25">
      <c r="G71" s="5" t="s">
        <v>380</v>
      </c>
      <c r="H71" s="5" t="s">
        <v>191</v>
      </c>
    </row>
    <row r="72" spans="1:14" hidden="1" x14ac:dyDescent="0.25">
      <c r="A72" s="4"/>
      <c r="B72" s="4"/>
      <c r="G72" s="5" t="s">
        <v>381</v>
      </c>
      <c r="H72" s="5" t="s">
        <v>382</v>
      </c>
    </row>
    <row r="73" spans="1:14" hidden="1" x14ac:dyDescent="0.25">
      <c r="G73" s="8" t="s">
        <v>383</v>
      </c>
      <c r="H73" s="8" t="s">
        <v>224</v>
      </c>
      <c r="I73" s="385"/>
    </row>
    <row r="74" spans="1:14" hidden="1" x14ac:dyDescent="0.25">
      <c r="B74" s="4"/>
      <c r="G74" s="338" t="e">
        <f>F14</f>
        <v>#REF!</v>
      </c>
      <c r="H74">
        <v>1.1180000000000001</v>
      </c>
      <c r="I74" s="385" t="e">
        <f>G74*H74</f>
        <v>#REF!</v>
      </c>
    </row>
    <row r="75" spans="1:14" hidden="1" x14ac:dyDescent="0.25"/>
    <row r="76" spans="1:14" hidden="1" x14ac:dyDescent="0.25"/>
    <row r="77" spans="1:14" hidden="1" x14ac:dyDescent="0.25"/>
    <row r="79" spans="1:14" x14ac:dyDescent="0.25">
      <c r="C79" s="4"/>
      <c r="K79" s="376"/>
      <c r="N79" s="376"/>
    </row>
    <row r="80" spans="1:14" x14ac:dyDescent="0.25">
      <c r="K80" s="376"/>
      <c r="N80" s="376"/>
    </row>
    <row r="81" spans="1:16" x14ac:dyDescent="0.25">
      <c r="K81" s="376"/>
      <c r="N81" s="376"/>
    </row>
    <row r="83" spans="1:16" x14ac:dyDescent="0.25">
      <c r="D83" s="386"/>
      <c r="E83" s="386"/>
      <c r="F83" s="386"/>
      <c r="G83" s="386"/>
      <c r="H83" s="386"/>
      <c r="I83" s="386"/>
      <c r="J83" s="386"/>
      <c r="K83" s="386"/>
      <c r="L83" s="386"/>
      <c r="M83" s="386"/>
      <c r="N83" s="386"/>
      <c r="O83" s="386"/>
    </row>
    <row r="84" spans="1:16" x14ac:dyDescent="0.25">
      <c r="D84" s="387"/>
      <c r="E84" s="387"/>
      <c r="F84" s="387"/>
      <c r="G84" s="387"/>
      <c r="H84" s="387"/>
      <c r="I84" s="387"/>
      <c r="J84" s="387"/>
      <c r="K84" s="387"/>
      <c r="L84" s="387"/>
      <c r="M84" s="387"/>
      <c r="N84" s="387"/>
      <c r="O84" s="387"/>
      <c r="P84" s="387"/>
    </row>
    <row r="85" spans="1:16" x14ac:dyDescent="0.25">
      <c r="D85" s="387"/>
      <c r="E85" s="387"/>
      <c r="F85" s="387"/>
      <c r="G85" s="387"/>
      <c r="H85" s="387"/>
      <c r="I85" s="387"/>
      <c r="J85" s="387"/>
      <c r="K85" s="387"/>
      <c r="L85" s="387"/>
      <c r="M85" s="387"/>
      <c r="N85" s="387"/>
      <c r="O85" s="387"/>
      <c r="P85" s="387"/>
    </row>
    <row r="86" spans="1:16" x14ac:dyDescent="0.25">
      <c r="D86" s="387"/>
      <c r="E86" s="387"/>
      <c r="F86" s="387"/>
      <c r="G86" s="387"/>
      <c r="H86" s="387"/>
      <c r="I86" s="387"/>
      <c r="J86" s="387"/>
      <c r="K86" s="387"/>
      <c r="L86" s="387"/>
      <c r="M86" s="387"/>
      <c r="N86" s="387"/>
      <c r="O86" s="387"/>
      <c r="P86" s="387"/>
    </row>
    <row r="87" spans="1:16" x14ac:dyDescent="0.25">
      <c r="D87" s="387"/>
      <c r="E87" s="387"/>
      <c r="F87" s="387"/>
      <c r="G87" s="387"/>
      <c r="H87" s="387"/>
      <c r="I87" s="387"/>
      <c r="J87" s="387"/>
      <c r="K87" s="387"/>
      <c r="L87" s="387"/>
      <c r="M87" s="387"/>
      <c r="N87" s="387"/>
      <c r="O87" s="387"/>
      <c r="P87" s="387"/>
    </row>
    <row r="88" spans="1:16" x14ac:dyDescent="0.25">
      <c r="D88" s="387"/>
      <c r="E88" s="387"/>
      <c r="F88" s="387"/>
      <c r="G88" s="387"/>
      <c r="H88" s="387"/>
      <c r="I88" s="387"/>
      <c r="J88" s="387"/>
      <c r="K88" s="387"/>
      <c r="L88" s="387"/>
      <c r="M88" s="387"/>
      <c r="N88" s="387"/>
      <c r="O88" s="387"/>
      <c r="P88" s="387"/>
    </row>
    <row r="90" spans="1:16" x14ac:dyDescent="0.25">
      <c r="A90" s="388"/>
      <c r="D90" s="389"/>
      <c r="E90" s="390"/>
      <c r="F90" s="390"/>
      <c r="G90" s="390"/>
      <c r="H90" s="390"/>
      <c r="I90" s="390"/>
      <c r="J90" s="390"/>
      <c r="K90" s="390"/>
      <c r="L90" s="390"/>
      <c r="M90" s="390"/>
      <c r="N90" s="390"/>
      <c r="O90" s="390"/>
    </row>
    <row r="91" spans="1:16" x14ac:dyDescent="0.25">
      <c r="A91" s="388"/>
      <c r="D91" s="389"/>
      <c r="E91" s="390"/>
      <c r="F91" s="390"/>
      <c r="G91" s="390"/>
      <c r="H91" s="390"/>
      <c r="I91" s="390"/>
      <c r="J91" s="390"/>
      <c r="K91" s="390"/>
      <c r="L91" s="390"/>
      <c r="M91" s="390"/>
      <c r="N91" s="390"/>
      <c r="O91" s="390"/>
    </row>
    <row r="92" spans="1:16" x14ac:dyDescent="0.25">
      <c r="A92" s="388"/>
      <c r="D92" s="389"/>
      <c r="E92" s="390"/>
      <c r="F92" s="390"/>
      <c r="G92" s="390"/>
      <c r="H92" s="390"/>
      <c r="I92" s="390"/>
      <c r="J92" s="390"/>
      <c r="K92" s="390"/>
      <c r="L92" s="390"/>
      <c r="M92" s="390"/>
      <c r="N92" s="390"/>
      <c r="O92" s="390"/>
    </row>
    <row r="93" spans="1:16" x14ac:dyDescent="0.25">
      <c r="A93" s="388"/>
      <c r="D93" s="389"/>
      <c r="E93" s="390"/>
      <c r="F93" s="390"/>
      <c r="G93" s="390"/>
      <c r="H93" s="390"/>
      <c r="I93" s="390"/>
      <c r="J93" s="390"/>
      <c r="K93" s="390"/>
      <c r="L93" s="390"/>
      <c r="M93" s="390"/>
      <c r="N93" s="390"/>
      <c r="O93" s="390"/>
    </row>
  </sheetData>
  <mergeCells count="12">
    <mergeCell ref="M17:N18"/>
    <mergeCell ref="G58:I58"/>
    <mergeCell ref="A7:N7"/>
    <mergeCell ref="A9:N9"/>
    <mergeCell ref="A11:N11"/>
    <mergeCell ref="A17:A19"/>
    <mergeCell ref="B17:C18"/>
    <mergeCell ref="D17:E18"/>
    <mergeCell ref="F17:G18"/>
    <mergeCell ref="H17:I18"/>
    <mergeCell ref="J17:K18"/>
    <mergeCell ref="L17:L19"/>
  </mergeCells>
  <pageMargins left="0.5" right="0.5" top="0.75" bottom="0.75" header="0.5" footer="0.5"/>
  <pageSetup scale="69" orientation="landscape" r:id="rId1"/>
  <headerFooter alignWithMargins="0">
    <oddFooter>&amp;C&amp;F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BGS PTY14 Cost Alloc</vt:lpstr>
      <vt:lpstr>BGS PTY15 Cost Alloc</vt:lpstr>
      <vt:lpstr>BGS PTY16 Cost Alloc</vt:lpstr>
      <vt:lpstr>BGS PTY15 4yr Cong</vt:lpstr>
      <vt:lpstr>Composite Cost Allocation</vt:lpstr>
      <vt:lpstr>Composite 4yr Cong</vt:lpstr>
      <vt:lpstr>E &amp; C Prices</vt:lpstr>
      <vt:lpstr>Overall Avg Prices</vt:lpstr>
      <vt:lpstr>'BGS PTY14 Cost Alloc'!Print_Area</vt:lpstr>
      <vt:lpstr>'BGS PTY15 4yr Cong'!Print_Area</vt:lpstr>
      <vt:lpstr>'BGS PTY15 Cost Alloc'!Print_Area</vt:lpstr>
      <vt:lpstr>'BGS PTY16 Cost Alloc'!Print_Area</vt:lpstr>
      <vt:lpstr>'Composite 4yr Cong'!Print_Area</vt:lpstr>
      <vt:lpstr>'Composite Cost Allocation'!Print_Area</vt:lpstr>
      <vt:lpstr>'E &amp; C Prices'!Print_Area</vt:lpstr>
      <vt:lpstr>'Overall Avg Prices'!Print_Area</vt:lpstr>
    </vt:vector>
  </TitlesOfParts>
  <Company>PSEG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view of BGS prices for year 5 - forwards based</dc:title>
  <dc:subject>6/21 1:10 PM</dc:subject>
  <dc:creator>Robert W. Taylor</dc:creator>
  <cp:lastModifiedBy>Peng, Yongmei</cp:lastModifiedBy>
  <cp:lastPrinted>2017-06-14T19:25:30Z</cp:lastPrinted>
  <dcterms:created xsi:type="dcterms:W3CDTF">2002-02-27T17:48:59Z</dcterms:created>
  <dcterms:modified xsi:type="dcterms:W3CDTF">2017-06-14T19:25:35Z</dcterms:modified>
</cp:coreProperties>
</file>