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20736" windowHeight="6180"/>
  </bookViews>
  <sheets>
    <sheet name="June 18 - May 19" sheetId="1" r:id="rId1"/>
    <sheet name="auction results and rates" sheetId="3" r:id="rId2"/>
  </sheets>
  <definedNames>
    <definedName name="Auction" localSheetId="0">'June 18 - May 19'!#REF!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'auction results and rates'!$A$5:$O$151</definedName>
    <definedName name="_xlnm.Print_Area" localSheetId="0">'June 18 - May 19'!$A$1:$M$344</definedName>
    <definedName name="_xlnm.Print_Titles" localSheetId="1">'auction results and rates'!$1:$4</definedName>
    <definedName name="Z_689761CC_C80B_4574_9251_22E069AE5A7E_.wvu.PrintArea" localSheetId="1" hidden="1">'auction results and rates'!$A$6:$M$105</definedName>
    <definedName name="Z_689761CC_C80B_4574_9251_22E069AE5A7E_.wvu.PrintArea" localSheetId="0" hidden="1">'June 18 - May 19'!$A$1:$M$310</definedName>
    <definedName name="Z_689761CC_C80B_4574_9251_22E069AE5A7E_.wvu.PrintTitles" localSheetId="1" hidden="1">'auction results and rates'!$1:$4</definedName>
    <definedName name="Z_E387223A_F425_4996_A843_D576BB2C4D04_.wvu.PrintArea" localSheetId="1" hidden="1">'auction results and rates'!$A$6:$M$105</definedName>
    <definedName name="Z_E387223A_F425_4996_A843_D576BB2C4D04_.wvu.PrintArea" localSheetId="0" hidden="1">'June 18 - May 19'!$A$1:$M$306</definedName>
    <definedName name="Z_E387223A_F425_4996_A843_D576BB2C4D04_.wvu.PrintTitles" localSheetId="1" hidden="1">'auction results and rates'!$1:$4</definedName>
    <definedName name="Z_E387223A_F425_4996_A843_D576BB2C4D04_.wvu.Rows" localSheetId="0" hidden="1">'June 18 - May 19'!$307:$309</definedName>
  </definedNames>
  <calcPr calcId="171027"/>
  <customWorkbookViews>
    <customWorkbookView name="Retail Rate Development Detail" guid="{689761CC-C80B-4574-9251-22E069AE5A7E}" maximized="1" windowWidth="994" windowHeight="507" activeSheetId="1"/>
    <customWorkbookView name="BGS Filing" guid="{E387223A-F425-4996-A843-D576BB2C4D04}" maximized="1" windowWidth="994" windowHeight="507" activeSheetId="1"/>
  </customWorkbookViews>
</workbook>
</file>

<file path=xl/calcChain.xml><?xml version="1.0" encoding="utf-8"?>
<calcChain xmlns="http://schemas.openxmlformats.org/spreadsheetml/2006/main">
  <c r="J344" i="1" l="1"/>
  <c r="I344" i="1"/>
  <c r="H344" i="1"/>
  <c r="G344" i="1"/>
  <c r="F344" i="1"/>
  <c r="E344" i="1"/>
  <c r="D344" i="1"/>
  <c r="C344" i="1"/>
  <c r="D343" i="1"/>
  <c r="D342" i="1"/>
  <c r="J341" i="1"/>
  <c r="I341" i="1"/>
  <c r="H341" i="1"/>
  <c r="G341" i="1"/>
  <c r="F341" i="1"/>
  <c r="E341" i="1"/>
  <c r="C341" i="1"/>
  <c r="C340" i="1"/>
  <c r="C339" i="1"/>
  <c r="D338" i="1"/>
  <c r="J336" i="1"/>
  <c r="I336" i="1"/>
  <c r="H336" i="1"/>
  <c r="G336" i="1"/>
  <c r="F336" i="1"/>
  <c r="E336" i="1"/>
  <c r="D337" i="1"/>
  <c r="C193" i="1"/>
  <c r="D180" i="1" l="1"/>
  <c r="J79" i="1" l="1"/>
  <c r="I79" i="1"/>
  <c r="H79" i="1"/>
  <c r="F79" i="1"/>
  <c r="G79" i="1"/>
  <c r="D79" i="1"/>
  <c r="E79" i="1"/>
  <c r="C79" i="1"/>
  <c r="C332" i="1" l="1"/>
  <c r="F150" i="1" l="1"/>
  <c r="C300" i="1" l="1"/>
  <c r="E175" i="1"/>
  <c r="D162" i="1" l="1"/>
  <c r="E156" i="1" s="1"/>
  <c r="E157" i="1" l="1"/>
  <c r="P18" i="1"/>
  <c r="B28" i="1"/>
  <c r="B29" i="1"/>
  <c r="B30" i="1"/>
  <c r="B31" i="1"/>
  <c r="B32" i="1"/>
  <c r="B33" i="1"/>
  <c r="B34" i="1"/>
  <c r="B35" i="1"/>
  <c r="B36" i="1"/>
  <c r="B37" i="1"/>
  <c r="B38" i="1"/>
  <c r="B27" i="1"/>
  <c r="P27" i="1" l="1"/>
  <c r="U9" i="1"/>
  <c r="F156" i="1" l="1"/>
  <c r="D157" i="1"/>
  <c r="F157" i="1" s="1"/>
  <c r="K144" i="1" l="1"/>
  <c r="K147" i="1" l="1"/>
  <c r="E12" i="3" l="1"/>
  <c r="J170" i="1" l="1"/>
  <c r="K145" i="1"/>
  <c r="J157" i="1" l="1"/>
  <c r="D185" i="1" l="1"/>
  <c r="C185" i="1"/>
  <c r="C57" i="1"/>
  <c r="C180" i="1" s="1"/>
  <c r="C169" i="1" l="1"/>
  <c r="C298" i="1"/>
  <c r="F167" i="1" l="1"/>
  <c r="F168" i="1" s="1"/>
  <c r="C80" i="1" l="1"/>
  <c r="K45" i="1" l="1"/>
  <c r="D57" i="1" l="1"/>
  <c r="F57" i="1"/>
  <c r="H57" i="1"/>
  <c r="H180" i="1" s="1"/>
  <c r="I57" i="1"/>
  <c r="I180" i="1" s="1"/>
  <c r="E57" i="1"/>
  <c r="G57" i="1"/>
  <c r="D65" i="1" l="1"/>
  <c r="D66" i="1" l="1"/>
  <c r="D64" i="1"/>
  <c r="K46" i="1" l="1"/>
  <c r="J57" i="1" l="1"/>
  <c r="I64" i="1" l="1"/>
  <c r="H64" i="1"/>
  <c r="E63" i="1" l="1"/>
  <c r="D82" i="1" l="1"/>
  <c r="O9" i="1" l="1"/>
  <c r="P9" i="1"/>
  <c r="Q9" i="1"/>
  <c r="R9" i="1"/>
  <c r="S9" i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7" i="1"/>
  <c r="P17" i="1"/>
  <c r="Q17" i="1"/>
  <c r="R17" i="1"/>
  <c r="S17" i="1"/>
  <c r="O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P28" i="1"/>
  <c r="P29" i="1"/>
  <c r="P30" i="1"/>
  <c r="P31" i="1"/>
  <c r="P32" i="1"/>
  <c r="P33" i="1"/>
  <c r="P34" i="1"/>
  <c r="P35" i="1"/>
  <c r="P36" i="1"/>
  <c r="P37" i="1"/>
  <c r="P38" i="1"/>
  <c r="O45" i="1"/>
  <c r="P45" i="1"/>
  <c r="Q45" i="1"/>
  <c r="R45" i="1"/>
  <c r="S45" i="1"/>
  <c r="P46" i="1"/>
  <c r="O48" i="1"/>
  <c r="P48" i="1"/>
  <c r="Q48" i="1"/>
  <c r="R48" i="1"/>
  <c r="S48" i="1"/>
  <c r="P49" i="1"/>
  <c r="P126" i="1"/>
  <c r="Q126" i="1" s="1"/>
  <c r="R126" i="1"/>
  <c r="S126" i="1"/>
  <c r="P129" i="1"/>
  <c r="Q129" i="1"/>
  <c r="P133" i="1"/>
  <c r="Q133" i="1"/>
  <c r="P130" i="1" l="1"/>
  <c r="P131" i="1" s="1"/>
  <c r="O52" i="1"/>
  <c r="O53" i="1" s="1"/>
  <c r="P47" i="1"/>
  <c r="Q88" i="3" s="1"/>
  <c r="P134" i="1"/>
  <c r="P135" i="1" s="1"/>
  <c r="Q130" i="1"/>
  <c r="Q134" i="1"/>
  <c r="P50" i="1"/>
  <c r="Q87" i="3" s="1"/>
  <c r="R129" i="1"/>
  <c r="R133" i="1"/>
  <c r="I70" i="1"/>
  <c r="H70" i="1"/>
  <c r="C297" i="1"/>
  <c r="H73" i="1"/>
  <c r="D25" i="1"/>
  <c r="D43" i="1"/>
  <c r="D80" i="1"/>
  <c r="I74" i="1"/>
  <c r="I73" i="1"/>
  <c r="I72" i="1"/>
  <c r="H71" i="1"/>
  <c r="H69" i="1"/>
  <c r="I67" i="1"/>
  <c r="I66" i="1"/>
  <c r="I65" i="1"/>
  <c r="H65" i="1"/>
  <c r="T48" i="1"/>
  <c r="U87" i="3" s="1"/>
  <c r="U48" i="1"/>
  <c r="V48" i="1"/>
  <c r="W87" i="3" s="1"/>
  <c r="E80" i="1"/>
  <c r="E82" i="1"/>
  <c r="F80" i="1"/>
  <c r="F82" i="1"/>
  <c r="G80" i="1"/>
  <c r="G82" i="1"/>
  <c r="H80" i="1"/>
  <c r="H82" i="1"/>
  <c r="I80" i="1"/>
  <c r="I82" i="1"/>
  <c r="J80" i="1"/>
  <c r="J82" i="1"/>
  <c r="C83" i="1"/>
  <c r="C84" i="1" s="1"/>
  <c r="K47" i="1"/>
  <c r="K48" i="1"/>
  <c r="K49" i="1"/>
  <c r="K50" i="1"/>
  <c r="K51" i="1"/>
  <c r="K52" i="1"/>
  <c r="K53" i="1"/>
  <c r="K54" i="1"/>
  <c r="K55" i="1"/>
  <c r="K56" i="1"/>
  <c r="R88" i="3"/>
  <c r="T88" i="3"/>
  <c r="T45" i="1"/>
  <c r="U88" i="3" s="1"/>
  <c r="U45" i="1"/>
  <c r="V88" i="3" s="1"/>
  <c r="V45" i="1"/>
  <c r="W88" i="3" s="1"/>
  <c r="T87" i="3"/>
  <c r="S88" i="3"/>
  <c r="S87" i="3"/>
  <c r="R87" i="3"/>
  <c r="D69" i="3"/>
  <c r="D85" i="3" s="1"/>
  <c r="E69" i="3"/>
  <c r="E85" i="3" s="1"/>
  <c r="F69" i="3"/>
  <c r="F85" i="3" s="1"/>
  <c r="G69" i="3"/>
  <c r="G85" i="3" s="1"/>
  <c r="H69" i="3"/>
  <c r="H85" i="3" s="1"/>
  <c r="I69" i="3"/>
  <c r="I85" i="3" s="1"/>
  <c r="J69" i="3"/>
  <c r="J85" i="3" s="1"/>
  <c r="C69" i="3"/>
  <c r="C85" i="3" s="1"/>
  <c r="U10" i="1"/>
  <c r="U11" i="1"/>
  <c r="U12" i="1"/>
  <c r="U13" i="1"/>
  <c r="T9" i="1"/>
  <c r="T10" i="1"/>
  <c r="T11" i="1"/>
  <c r="T12" i="1"/>
  <c r="T13" i="1"/>
  <c r="T126" i="1"/>
  <c r="T20" i="1"/>
  <c r="T18" i="1"/>
  <c r="T19" i="1"/>
  <c r="U20" i="1"/>
  <c r="U18" i="1"/>
  <c r="U19" i="1"/>
  <c r="V13" i="1"/>
  <c r="V9" i="1"/>
  <c r="V10" i="1"/>
  <c r="V11" i="1"/>
  <c r="V12" i="1"/>
  <c r="V20" i="1"/>
  <c r="V18" i="1"/>
  <c r="V19" i="1"/>
  <c r="V17" i="1"/>
  <c r="V14" i="1"/>
  <c r="V15" i="1"/>
  <c r="V16" i="1"/>
  <c r="T17" i="1"/>
  <c r="T14" i="1"/>
  <c r="T15" i="1"/>
  <c r="T16" i="1"/>
  <c r="U17" i="1"/>
  <c r="U14" i="1"/>
  <c r="U15" i="1"/>
  <c r="U16" i="1"/>
  <c r="C296" i="1"/>
  <c r="I152" i="1"/>
  <c r="B74" i="1"/>
  <c r="B73" i="1"/>
  <c r="B72" i="1"/>
  <c r="B71" i="1"/>
  <c r="B70" i="1"/>
  <c r="B69" i="1"/>
  <c r="B68" i="1"/>
  <c r="B67" i="1"/>
  <c r="B66" i="1"/>
  <c r="B65" i="1"/>
  <c r="B64" i="1"/>
  <c r="B63" i="1"/>
  <c r="C165" i="1"/>
  <c r="C299" i="1"/>
  <c r="P88" i="3"/>
  <c r="H67" i="1"/>
  <c r="H74" i="1"/>
  <c r="H72" i="1"/>
  <c r="H66" i="1"/>
  <c r="I71" i="1"/>
  <c r="I69" i="1"/>
  <c r="D93" i="1" l="1"/>
  <c r="D111" i="1" s="1"/>
  <c r="C93" i="1"/>
  <c r="C111" i="1" s="1"/>
  <c r="J156" i="1"/>
  <c r="W45" i="1"/>
  <c r="Q57" i="1"/>
  <c r="Q56" i="1"/>
  <c r="K57" i="1"/>
  <c r="K180" i="1" s="1"/>
  <c r="C314" i="1" s="1"/>
  <c r="J93" i="1"/>
  <c r="J111" i="1" s="1"/>
  <c r="R130" i="1"/>
  <c r="Q131" i="1"/>
  <c r="R134" i="1"/>
  <c r="F97" i="1"/>
  <c r="F115" i="1" s="1"/>
  <c r="Q135" i="1"/>
  <c r="C97" i="1"/>
  <c r="C115" i="1" s="1"/>
  <c r="F93" i="1"/>
  <c r="F111" i="1" s="1"/>
  <c r="J97" i="1"/>
  <c r="J115" i="1" s="1"/>
  <c r="J83" i="1"/>
  <c r="J84" i="1" s="1"/>
  <c r="W48" i="1"/>
  <c r="V87" i="3"/>
  <c r="V89" i="3" s="1"/>
  <c r="S89" i="3"/>
  <c r="Q89" i="3"/>
  <c r="T89" i="3"/>
  <c r="W89" i="3"/>
  <c r="P87" i="3"/>
  <c r="U89" i="3"/>
  <c r="I97" i="1"/>
  <c r="I115" i="1" s="1"/>
  <c r="I93" i="1"/>
  <c r="I111" i="1" s="1"/>
  <c r="H97" i="1"/>
  <c r="H115" i="1" s="1"/>
  <c r="H93" i="1"/>
  <c r="H111" i="1" s="1"/>
  <c r="G93" i="1"/>
  <c r="G111" i="1" s="1"/>
  <c r="G97" i="1"/>
  <c r="G115" i="1" s="1"/>
  <c r="I83" i="1"/>
  <c r="I84" i="1" s="1"/>
  <c r="H83" i="1"/>
  <c r="H84" i="1" s="1"/>
  <c r="G83" i="1"/>
  <c r="G84" i="1" s="1"/>
  <c r="F83" i="1"/>
  <c r="F84" i="1" s="1"/>
  <c r="R89" i="3"/>
  <c r="X88" i="3"/>
  <c r="E97" i="1"/>
  <c r="E115" i="1" s="1"/>
  <c r="E93" i="1"/>
  <c r="E111" i="1" s="1"/>
  <c r="D97" i="1"/>
  <c r="D115" i="1" s="1"/>
  <c r="D83" i="1"/>
  <c r="D84" i="1" s="1"/>
  <c r="E83" i="1"/>
  <c r="E84" i="1" s="1"/>
  <c r="D184" i="1" l="1"/>
  <c r="C184" i="1"/>
  <c r="F184" i="1"/>
  <c r="C19" i="3"/>
  <c r="D23" i="3" s="1"/>
  <c r="J158" i="1"/>
  <c r="D183" i="1" s="1"/>
  <c r="Q58" i="1"/>
  <c r="W50" i="1"/>
  <c r="X87" i="3"/>
  <c r="O54" i="1"/>
  <c r="P89" i="3"/>
  <c r="X89" i="3" s="1"/>
  <c r="C20" i="3"/>
  <c r="E180" i="1" l="1"/>
  <c r="F180" i="1"/>
  <c r="G180" i="1"/>
  <c r="J180" i="1"/>
  <c r="E184" i="1" l="1"/>
  <c r="G184" i="1"/>
  <c r="J184" i="1"/>
  <c r="H184" i="1"/>
  <c r="I184" i="1"/>
  <c r="E185" i="1"/>
  <c r="H185" i="1"/>
  <c r="I185" i="1"/>
  <c r="J185" i="1"/>
  <c r="G185" i="1"/>
  <c r="F185" i="1"/>
  <c r="I183" i="1" l="1"/>
  <c r="E183" i="1"/>
  <c r="C183" i="1"/>
  <c r="H183" i="1"/>
  <c r="G183" i="1"/>
  <c r="F183" i="1"/>
  <c r="J183" i="1"/>
  <c r="E68" i="1"/>
  <c r="D70" i="1"/>
  <c r="E70" i="1" s="1"/>
  <c r="D69" i="1"/>
  <c r="E69" i="1" s="1"/>
  <c r="D71" i="1"/>
  <c r="E71" i="1" s="1"/>
  <c r="D92" i="1" l="1"/>
  <c r="G92" i="1"/>
  <c r="G110" i="1" s="1"/>
  <c r="C92" i="1"/>
  <c r="C110" i="1" s="1"/>
  <c r="J92" i="1"/>
  <c r="J110" i="1" s="1"/>
  <c r="J128" i="1" s="1"/>
  <c r="D94" i="1"/>
  <c r="D129" i="1" s="1"/>
  <c r="H92" i="1"/>
  <c r="H110" i="1" s="1"/>
  <c r="H128" i="1" s="1"/>
  <c r="E92" i="1"/>
  <c r="F92" i="1"/>
  <c r="I94" i="1"/>
  <c r="I112" i="1" s="1"/>
  <c r="I92" i="1"/>
  <c r="C94" i="1"/>
  <c r="C112" i="1" s="1"/>
  <c r="G94" i="1"/>
  <c r="G112" i="1" s="1"/>
  <c r="H94" i="1"/>
  <c r="H112" i="1" s="1"/>
  <c r="E94" i="1"/>
  <c r="E112" i="1" s="1"/>
  <c r="F94" i="1"/>
  <c r="F112" i="1" s="1"/>
  <c r="J94" i="1"/>
  <c r="J112" i="1" s="1"/>
  <c r="D112" i="1" l="1"/>
  <c r="D130" i="1" s="1"/>
  <c r="C128" i="1"/>
  <c r="C237" i="1" s="1"/>
  <c r="J237" i="1"/>
  <c r="J193" i="1"/>
  <c r="H237" i="1"/>
  <c r="H193" i="1"/>
  <c r="I110" i="1"/>
  <c r="D110" i="1"/>
  <c r="D128" i="1" s="1"/>
  <c r="D237" i="1" s="1"/>
  <c r="F110" i="1"/>
  <c r="E110" i="1"/>
  <c r="G128" i="1"/>
  <c r="S130" i="1" l="1"/>
  <c r="D195" i="1"/>
  <c r="D239" i="1"/>
  <c r="S129" i="1"/>
  <c r="D194" i="1"/>
  <c r="D238" i="1"/>
  <c r="C196" i="1"/>
  <c r="G237" i="1"/>
  <c r="G193" i="1"/>
  <c r="G277" i="1" s="1"/>
  <c r="H277" i="1"/>
  <c r="E128" i="1"/>
  <c r="J277" i="1"/>
  <c r="I128" i="1"/>
  <c r="I237" i="1" s="1"/>
  <c r="F128" i="1"/>
  <c r="F237" i="1" s="1"/>
  <c r="T131" i="1"/>
  <c r="S131" i="1" l="1"/>
  <c r="I193" i="1"/>
  <c r="D193" i="1"/>
  <c r="E237" i="1"/>
  <c r="E193" i="1"/>
  <c r="F193" i="1"/>
  <c r="C240" i="1"/>
  <c r="C222" i="1" l="1"/>
  <c r="C52" i="3" s="1"/>
  <c r="C197" i="1"/>
  <c r="C223" i="1" s="1"/>
  <c r="C53" i="3" s="1"/>
  <c r="C264" i="1"/>
  <c r="C241" i="1"/>
  <c r="C265" i="1" s="1"/>
  <c r="E277" i="1"/>
  <c r="I277" i="1"/>
  <c r="D277" i="1"/>
  <c r="F277" i="1"/>
  <c r="C277" i="1" l="1"/>
  <c r="C286" i="1" l="1"/>
  <c r="E291" i="1" s="1"/>
  <c r="D74" i="1"/>
  <c r="E74" i="1" s="1"/>
  <c r="E65" i="1"/>
  <c r="D67" i="1"/>
  <c r="E67" i="1" s="1"/>
  <c r="D72" i="1"/>
  <c r="E72" i="1" s="1"/>
  <c r="E64" i="1"/>
  <c r="D73" i="1"/>
  <c r="E73" i="1" s="1"/>
  <c r="E66" i="1"/>
  <c r="E96" i="1" l="1"/>
  <c r="D98" i="1"/>
  <c r="I96" i="1"/>
  <c r="G96" i="1"/>
  <c r="F96" i="1"/>
  <c r="C96" i="1"/>
  <c r="C100" i="1" s="1"/>
  <c r="J96" i="1"/>
  <c r="D96" i="1"/>
  <c r="E98" i="1"/>
  <c r="E116" i="1" s="1"/>
  <c r="H96" i="1"/>
  <c r="G98" i="1"/>
  <c r="G116" i="1" s="1"/>
  <c r="C98" i="1"/>
  <c r="C116" i="1" s="1"/>
  <c r="I98" i="1"/>
  <c r="I116" i="1" s="1"/>
  <c r="H98" i="1"/>
  <c r="H116" i="1" s="1"/>
  <c r="F98" i="1"/>
  <c r="F116" i="1" s="1"/>
  <c r="J98" i="1"/>
  <c r="J116" i="1" s="1"/>
  <c r="D100" i="1" l="1"/>
  <c r="D114" i="1"/>
  <c r="G100" i="1"/>
  <c r="G114" i="1"/>
  <c r="J100" i="1"/>
  <c r="J114" i="1"/>
  <c r="I100" i="1"/>
  <c r="I114" i="1"/>
  <c r="I132" i="1" s="1"/>
  <c r="I242" i="1" s="1"/>
  <c r="H100" i="1"/>
  <c r="H114" i="1"/>
  <c r="C114" i="1"/>
  <c r="D116" i="1"/>
  <c r="D134" i="1" s="1"/>
  <c r="D201" i="1" s="1"/>
  <c r="D133" i="1"/>
  <c r="F100" i="1"/>
  <c r="F114" i="1"/>
  <c r="E100" i="1"/>
  <c r="E114" i="1"/>
  <c r="D243" i="1" l="1"/>
  <c r="D200" i="1"/>
  <c r="D203" i="1" s="1"/>
  <c r="D244" i="1"/>
  <c r="S133" i="1"/>
  <c r="J118" i="1"/>
  <c r="J132" i="1"/>
  <c r="S134" i="1"/>
  <c r="F118" i="1"/>
  <c r="F132" i="1"/>
  <c r="C132" i="1"/>
  <c r="C242" i="1" s="1"/>
  <c r="C118" i="1"/>
  <c r="I118" i="1"/>
  <c r="G118" i="1"/>
  <c r="G132" i="1"/>
  <c r="E118" i="1"/>
  <c r="E132" i="1"/>
  <c r="H118" i="1"/>
  <c r="H132" i="1"/>
  <c r="D118" i="1"/>
  <c r="D132" i="1"/>
  <c r="T135" i="1"/>
  <c r="G102" i="1"/>
  <c r="C120" i="1" l="1"/>
  <c r="C137" i="1" s="1"/>
  <c r="D245" i="1"/>
  <c r="G242" i="1"/>
  <c r="G199" i="1"/>
  <c r="C199" i="1"/>
  <c r="J242" i="1"/>
  <c r="J199" i="1"/>
  <c r="H199" i="1"/>
  <c r="H242" i="1"/>
  <c r="D199" i="1"/>
  <c r="D242" i="1"/>
  <c r="E242" i="1"/>
  <c r="E199" i="1"/>
  <c r="I199" i="1"/>
  <c r="I278" i="1" s="1"/>
  <c r="F242" i="1"/>
  <c r="F199" i="1"/>
  <c r="J136" i="1"/>
  <c r="H136" i="1"/>
  <c r="G136" i="1"/>
  <c r="C136" i="1"/>
  <c r="D136" i="1"/>
  <c r="E136" i="1"/>
  <c r="I136" i="1"/>
  <c r="F136" i="1"/>
  <c r="S135" i="1"/>
  <c r="G245" i="1" l="1"/>
  <c r="G203" i="1"/>
  <c r="H245" i="1"/>
  <c r="H203" i="1"/>
  <c r="F245" i="1"/>
  <c r="F203" i="1"/>
  <c r="C245" i="1"/>
  <c r="C203" i="1"/>
  <c r="J245" i="1"/>
  <c r="J203" i="1"/>
  <c r="E245" i="1"/>
  <c r="E203" i="1"/>
  <c r="I245" i="1"/>
  <c r="I203" i="1"/>
  <c r="D278" i="1"/>
  <c r="C278" i="1"/>
  <c r="J278" i="1"/>
  <c r="F278" i="1"/>
  <c r="G278" i="1"/>
  <c r="E278" i="1"/>
  <c r="H278" i="1"/>
  <c r="C248" i="1" l="1"/>
  <c r="G251" i="1" s="1"/>
  <c r="D270" i="1" s="1"/>
  <c r="C207" i="1"/>
  <c r="F209" i="1" s="1"/>
  <c r="C287" i="1"/>
  <c r="J279" i="1"/>
  <c r="J282" i="1" s="1"/>
  <c r="H279" i="1"/>
  <c r="H282" i="1" s="1"/>
  <c r="I279" i="1"/>
  <c r="I282" i="1" s="1"/>
  <c r="E279" i="1"/>
  <c r="E282" i="1" s="1"/>
  <c r="G279" i="1"/>
  <c r="G282" i="1" s="1"/>
  <c r="C279" i="1"/>
  <c r="C282" i="1" s="1"/>
  <c r="F279" i="1"/>
  <c r="F282" i="1" s="1"/>
  <c r="D279" i="1"/>
  <c r="D282" i="1" s="1"/>
  <c r="F210" i="1" l="1"/>
  <c r="E229" i="1" s="1"/>
  <c r="E61" i="3" s="1"/>
  <c r="D260" i="1"/>
  <c r="H270" i="1"/>
  <c r="E267" i="1"/>
  <c r="G250" i="1"/>
  <c r="H283" i="1"/>
  <c r="C283" i="1"/>
  <c r="G270" i="1"/>
  <c r="F270" i="1"/>
  <c r="C270" i="1"/>
  <c r="J270" i="1"/>
  <c r="C229" i="1"/>
  <c r="C61" i="3" s="1"/>
  <c r="I229" i="1"/>
  <c r="I61" i="3" s="1"/>
  <c r="E270" i="1"/>
  <c r="D283" i="1"/>
  <c r="F229" i="1"/>
  <c r="F61" i="3" s="1"/>
  <c r="G229" i="1"/>
  <c r="G61" i="3" s="1"/>
  <c r="H229" i="1"/>
  <c r="H61" i="3" s="1"/>
  <c r="F283" i="1"/>
  <c r="J229" i="1"/>
  <c r="J61" i="3" s="1"/>
  <c r="G283" i="1"/>
  <c r="F260" i="1"/>
  <c r="J260" i="1"/>
  <c r="I260" i="1"/>
  <c r="C263" i="1"/>
  <c r="H260" i="1"/>
  <c r="G260" i="1"/>
  <c r="D262" i="1"/>
  <c r="D261" i="1"/>
  <c r="E260" i="1"/>
  <c r="D268" i="1"/>
  <c r="D269" i="1"/>
  <c r="G267" i="1"/>
  <c r="J267" i="1"/>
  <c r="D267" i="1"/>
  <c r="C267" i="1"/>
  <c r="I267" i="1"/>
  <c r="H267" i="1"/>
  <c r="F267" i="1"/>
  <c r="I270" i="1"/>
  <c r="J283" i="1"/>
  <c r="E292" i="1"/>
  <c r="M291" i="1" s="1"/>
  <c r="C288" i="1"/>
  <c r="C291" i="1" s="1"/>
  <c r="E283" i="1"/>
  <c r="I283" i="1"/>
  <c r="E218" i="1"/>
  <c r="E47" i="3" s="1"/>
  <c r="D220" i="1"/>
  <c r="D49" i="3" s="1"/>
  <c r="I218" i="1"/>
  <c r="I47" i="3" s="1"/>
  <c r="C221" i="1"/>
  <c r="C51" i="3" s="1"/>
  <c r="F218" i="1"/>
  <c r="F47" i="3" s="1"/>
  <c r="G218" i="1"/>
  <c r="G47" i="3" s="1"/>
  <c r="D218" i="1"/>
  <c r="D47" i="3" s="1"/>
  <c r="J218" i="1"/>
  <c r="J47" i="3" s="1"/>
  <c r="H218" i="1"/>
  <c r="H47" i="3" s="1"/>
  <c r="D219" i="1"/>
  <c r="D48" i="3" s="1"/>
  <c r="D226" i="1"/>
  <c r="D58" i="3" s="1"/>
  <c r="D227" i="1"/>
  <c r="D59" i="3" s="1"/>
  <c r="F225" i="1"/>
  <c r="F57" i="3" s="1"/>
  <c r="H225" i="1"/>
  <c r="H57" i="3" s="1"/>
  <c r="I225" i="1"/>
  <c r="I57" i="3" s="1"/>
  <c r="C225" i="1"/>
  <c r="C57" i="3" s="1"/>
  <c r="J225" i="1"/>
  <c r="J57" i="3" s="1"/>
  <c r="G225" i="1"/>
  <c r="G57" i="3" s="1"/>
  <c r="E225" i="1"/>
  <c r="E57" i="3" s="1"/>
  <c r="D225" i="1"/>
  <c r="D57" i="3" s="1"/>
  <c r="D229" i="1"/>
  <c r="D61" i="3" s="1"/>
  <c r="E15" i="3" l="1"/>
  <c r="E23" i="3" s="1"/>
  <c r="M292" i="1"/>
  <c r="E16" i="3" s="1"/>
  <c r="E24" i="3" s="1"/>
  <c r="C292" i="1"/>
  <c r="E10" i="3" l="1"/>
  <c r="E25" i="3" l="1"/>
  <c r="C23" i="3" l="1"/>
  <c r="C28" i="3" s="1"/>
  <c r="C24" i="3"/>
  <c r="D10" i="3"/>
  <c r="D24" i="3"/>
  <c r="C29" i="3" l="1"/>
  <c r="C10" i="3"/>
  <c r="C98" i="3"/>
  <c r="D25" i="3"/>
  <c r="C97" i="3"/>
  <c r="C144" i="3" s="1"/>
  <c r="C25" i="3" l="1"/>
  <c r="C99" i="3"/>
  <c r="C145" i="3"/>
  <c r="C146" i="3" s="1"/>
  <c r="C36" i="3" l="1"/>
  <c r="C31" i="3"/>
  <c r="D71" i="3" s="1"/>
  <c r="J78" i="3" l="1"/>
  <c r="J88" i="3" s="1"/>
  <c r="G71" i="3"/>
  <c r="G87" i="3" s="1"/>
  <c r="D73" i="3"/>
  <c r="C78" i="3"/>
  <c r="C88" i="3" s="1"/>
  <c r="J71" i="3"/>
  <c r="J87" i="3" s="1"/>
  <c r="D80" i="3"/>
  <c r="D79" i="3"/>
  <c r="C35" i="3"/>
  <c r="C37" i="3" s="1"/>
  <c r="H71" i="3"/>
  <c r="H87" i="3" s="1"/>
  <c r="F71" i="3"/>
  <c r="F87" i="3" s="1"/>
  <c r="E78" i="3"/>
  <c r="E88" i="3" s="1"/>
  <c r="I71" i="3"/>
  <c r="I87" i="3" s="1"/>
  <c r="H78" i="3"/>
  <c r="H88" i="3" s="1"/>
  <c r="C313" i="1"/>
  <c r="C315" i="1" s="1"/>
  <c r="D326" i="1" s="1"/>
  <c r="D78" i="3"/>
  <c r="G78" i="3"/>
  <c r="G88" i="3" s="1"/>
  <c r="D72" i="3"/>
  <c r="I78" i="3"/>
  <c r="I88" i="3" s="1"/>
  <c r="C76" i="3"/>
  <c r="E71" i="3"/>
  <c r="E87" i="3" s="1"/>
  <c r="C75" i="3"/>
  <c r="F78" i="3"/>
  <c r="F88" i="3" s="1"/>
  <c r="E326" i="1" l="1"/>
  <c r="D87" i="3"/>
  <c r="D88" i="3"/>
  <c r="J326" i="1"/>
  <c r="G326" i="1"/>
  <c r="F326" i="1"/>
  <c r="I326" i="1"/>
  <c r="H326" i="1"/>
  <c r="C326" i="1"/>
  <c r="C87" i="3"/>
  <c r="C89" i="3" s="1"/>
  <c r="I89" i="3"/>
  <c r="E89" i="3"/>
  <c r="F89" i="3"/>
  <c r="J89" i="3"/>
  <c r="H89" i="3"/>
  <c r="G89" i="3"/>
  <c r="D89" i="3" l="1"/>
  <c r="C92" i="3"/>
  <c r="C103" i="3" s="1"/>
  <c r="C91" i="3"/>
  <c r="C102" i="3" s="1"/>
  <c r="J100" i="3" s="1"/>
  <c r="E102" i="3" l="1"/>
  <c r="C93" i="3"/>
  <c r="C104" i="3" s="1"/>
  <c r="J102" i="3" s="1"/>
  <c r="J101" i="3"/>
  <c r="E103" i="3"/>
  <c r="F318" i="1" l="1"/>
  <c r="I318" i="1"/>
  <c r="E323" i="1"/>
  <c r="D320" i="1"/>
  <c r="C321" i="1"/>
  <c r="D118" i="3"/>
  <c r="D117" i="3"/>
  <c r="E318" i="1"/>
  <c r="G117" i="3"/>
  <c r="G134" i="3" s="1"/>
  <c r="J117" i="3"/>
  <c r="J134" i="3" s="1"/>
  <c r="J318" i="1"/>
  <c r="I117" i="3"/>
  <c r="I134" i="3" s="1"/>
  <c r="D119" i="3"/>
  <c r="E117" i="3"/>
  <c r="E134" i="3" s="1"/>
  <c r="C122" i="3"/>
  <c r="H117" i="3"/>
  <c r="H134" i="3" s="1"/>
  <c r="D319" i="1"/>
  <c r="D318" i="1"/>
  <c r="H318" i="1"/>
  <c r="C322" i="1"/>
  <c r="C121" i="3"/>
  <c r="G318" i="1"/>
  <c r="F117" i="3"/>
  <c r="F134" i="3" s="1"/>
  <c r="J323" i="1"/>
  <c r="D325" i="1"/>
  <c r="H323" i="1"/>
  <c r="C124" i="3"/>
  <c r="C135" i="3" s="1"/>
  <c r="D126" i="3"/>
  <c r="F323" i="1"/>
  <c r="D124" i="3"/>
  <c r="D323" i="1"/>
  <c r="G124" i="3"/>
  <c r="G135" i="3" s="1"/>
  <c r="H124" i="3"/>
  <c r="H135" i="3" s="1"/>
  <c r="J124" i="3"/>
  <c r="J135" i="3" s="1"/>
  <c r="G323" i="1"/>
  <c r="C323" i="1"/>
  <c r="F124" i="3"/>
  <c r="F135" i="3" s="1"/>
  <c r="E124" i="3"/>
  <c r="E135" i="3" s="1"/>
  <c r="I323" i="1"/>
  <c r="D324" i="1"/>
  <c r="I124" i="3"/>
  <c r="I135" i="3" s="1"/>
  <c r="D125" i="3"/>
  <c r="C134" i="3" l="1"/>
  <c r="C136" i="3" s="1"/>
  <c r="E136" i="3"/>
  <c r="D134" i="3"/>
  <c r="J136" i="3"/>
  <c r="F136" i="3"/>
  <c r="I136" i="3"/>
  <c r="H136" i="3"/>
  <c r="G136" i="3"/>
  <c r="D135" i="3"/>
  <c r="C138" i="3" l="1"/>
  <c r="C149" i="3" s="1"/>
  <c r="D136" i="3"/>
  <c r="C139" i="3"/>
  <c r="C140" i="3" l="1"/>
  <c r="C150" i="3"/>
  <c r="C151" i="3" s="1"/>
</calcChain>
</file>

<file path=xl/sharedStrings.xml><?xml version="1.0" encoding="utf-8"?>
<sst xmlns="http://schemas.openxmlformats.org/spreadsheetml/2006/main" count="589" uniqueCount="282">
  <si>
    <t>Table #1</t>
  </si>
  <si>
    <t>% usage during PJM On-Peak period</t>
  </si>
  <si>
    <t>On-Peak periods defined as the 16 hr PJM Trading period, adj for NERC holidays</t>
  </si>
  <si>
    <t xml:space="preserve">% usage during Off-Peak period </t>
  </si>
  <si>
    <t>(data rounded to nearest %)</t>
  </si>
  <si>
    <t>RS</t>
  </si>
  <si>
    <t>MGS - SEC</t>
  </si>
  <si>
    <t>MGS - PRI</t>
  </si>
  <si>
    <t>AGS - SEC</t>
  </si>
  <si>
    <t>AGS - PRI</t>
  </si>
  <si>
    <t>SPL/CSL</t>
  </si>
  <si>
    <t>DDC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</si>
  <si>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</si>
  <si>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</si>
  <si>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</si>
  <si>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</si>
  <si>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</si>
  <si>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</si>
  <si>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</si>
  <si>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</si>
  <si>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</si>
  <si>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</si>
  <si>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</si>
  <si>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</si>
  <si>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</si>
  <si>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Class Usage @ customer</t>
  </si>
  <si>
    <t>Usage by season</t>
  </si>
  <si>
    <t>calendar month sales forecasted for period</t>
  </si>
  <si>
    <t>in MWh</t>
  </si>
  <si>
    <t>Total</t>
  </si>
  <si>
    <t>winter MWh =</t>
  </si>
  <si>
    <t>summer MWh =</t>
  </si>
  <si>
    <t>Table #3</t>
  </si>
  <si>
    <t>Forwards Prices - Energy Only @ bulk system</t>
  </si>
  <si>
    <t>Table #4</t>
  </si>
  <si>
    <t>in $/MWh</t>
  </si>
  <si>
    <t>On-Peak</t>
  </si>
  <si>
    <t>Off-Peak</t>
  </si>
  <si>
    <t>Table #5</t>
  </si>
  <si>
    <t>Losses</t>
  </si>
  <si>
    <t>Expansion Factor =</t>
  </si>
  <si>
    <t>Table #6</t>
  </si>
  <si>
    <t>Summary of Average BGS Energy Only Unit Costs @ customer - PJM Time Periods</t>
  </si>
  <si>
    <t>based on Forwards @ PJM West - corrected for congestion &amp; losses</t>
  </si>
  <si>
    <t>Summer - all hrs</t>
  </si>
  <si>
    <t>Winter - all hrs</t>
  </si>
  <si>
    <t>Annual</t>
  </si>
  <si>
    <t>System Average Cost @ customer - (limited to classes shown above) =</t>
  </si>
  <si>
    <t>Table #7</t>
  </si>
  <si>
    <t>Generation &amp; Transmission Obligations and Costs and Other Adjustments</t>
  </si>
  <si>
    <t>in MW</t>
  </si>
  <si>
    <t>Gen Load - MW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</si>
  <si>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</si>
  <si>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</si>
  <si>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</si>
  <si>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</si>
  <si>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</si>
  <si>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</si>
  <si>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</si>
  <si>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</si>
  <si>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</t>
  </si>
  <si>
    <t>per MW-yr</t>
  </si>
  <si>
    <t>Generation Capacity Cost</t>
  </si>
  <si>
    <t>Summer</t>
  </si>
  <si>
    <t>$/MW/day</t>
  </si>
  <si>
    <t>Summer Total</t>
  </si>
  <si>
    <t>Winter</t>
  </si>
  <si>
    <t>Winter Total</t>
  </si>
  <si>
    <t>Annual Total</t>
  </si>
  <si>
    <t>Residential Inversion Determination</t>
  </si>
  <si>
    <t>Charges</t>
  </si>
  <si>
    <t>% usage</t>
  </si>
  <si>
    <t>SUM 'First 750 KWh</t>
  </si>
  <si>
    <t>Block 1 (0-750 kWh/m)</t>
  </si>
  <si>
    <t>Block 2 (&gt;750 kWh/m)</t>
  </si>
  <si>
    <t>Calculated inversion =</t>
  </si>
  <si>
    <t>SUM '&gt; 750 KWh</t>
  </si>
  <si>
    <t>Table #8</t>
  </si>
  <si>
    <t>Table #9</t>
  </si>
  <si>
    <t xml:space="preserve">Summary of Obligation Costs expressed as $/MWh @ customer </t>
  </si>
  <si>
    <t>Transmission Obl - yr round</t>
  </si>
  <si>
    <t xml:space="preserve">Generation Obl -                </t>
  </si>
  <si>
    <t>per annual MWh</t>
  </si>
  <si>
    <t>recovery per summer MWh</t>
  </si>
  <si>
    <t>recovery per winter MWh</t>
  </si>
  <si>
    <t>Table #10</t>
  </si>
  <si>
    <t>Summary of BGS Unit Costs @ customer</t>
  </si>
  <si>
    <t>Grand Total Cost in $1000 =</t>
  </si>
  <si>
    <t>All In Average cost for rates shown (@ customer) =</t>
  </si>
  <si>
    <t>All In Average costs for rates shown (@ bulk system) =</t>
  </si>
  <si>
    <t>Table #11</t>
  </si>
  <si>
    <t>All usage Multiplier</t>
  </si>
  <si>
    <t>Constant</t>
  </si>
  <si>
    <t>for Block 1 (0-750 kWh/m) usage</t>
  </si>
  <si>
    <t>for Block 2 (&gt;750 kWh/m) usage</t>
  </si>
  <si>
    <t>Table #12</t>
  </si>
  <si>
    <t>Summary of BGS Unit Costs Less Transmission @ customer</t>
  </si>
  <si>
    <t>All In (Less Transmission) Average cost for rates shown (@ customer) =</t>
  </si>
  <si>
    <t>All In (Less Transmission) Average costs for rates shown (@ bulk system) =</t>
  </si>
  <si>
    <t>Table #13</t>
  </si>
  <si>
    <t>Transmission billed at retail tariff level.</t>
  </si>
  <si>
    <t>Table #14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</si>
  <si>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</si>
  <si>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</si>
  <si>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</si>
  <si>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</si>
  <si>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</si>
  <si>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bulk system MWhs):</t>
  </si>
  <si>
    <t>per MWh @ bulk system</t>
  </si>
  <si>
    <t>Ratio to All-In Cost</t>
  </si>
  <si>
    <t>&gt;&gt;&gt;</t>
  </si>
  <si>
    <t>Table #15</t>
  </si>
  <si>
    <t>Table #16</t>
  </si>
  <si>
    <t>Table #17</t>
  </si>
  <si>
    <t>Assumptions:</t>
  </si>
  <si>
    <t>Gen Cost =</t>
  </si>
  <si>
    <t>per MW-day</t>
  </si>
  <si>
    <t>summer</t>
  </si>
  <si>
    <t>=</t>
  </si>
  <si>
    <t>winter</t>
  </si>
  <si>
    <t>Trans cost =</t>
  </si>
  <si>
    <t>Ancillary Services =</t>
  </si>
  <si>
    <t>Energy Prices =</t>
  </si>
  <si>
    <t>Usage patterns =</t>
  </si>
  <si>
    <t>Obligations =</t>
  </si>
  <si>
    <t>Losses =</t>
  </si>
  <si>
    <t>PJM Time Periods =</t>
  </si>
  <si>
    <t>Off/On Pk</t>
  </si>
  <si>
    <t>LMP ratio</t>
  </si>
  <si>
    <t>Ratio of BGS Unit Costs @ customer to All In Average Cost @ bulk system (rounded to 3 decimal places)</t>
  </si>
  <si>
    <t>Ratio of BGS Unit Costs @ customer to All In Average Cost Less Transmission @ bulk system (rounded to 3 decimal places)</t>
  </si>
  <si>
    <t>per MWH</t>
  </si>
  <si>
    <t>(rounded to 4 decimal places)</t>
  </si>
  <si>
    <t>Zone-Hub Basis Differential</t>
  </si>
  <si>
    <t xml:space="preserve">On-Peak </t>
  </si>
  <si>
    <t>On Peak</t>
  </si>
  <si>
    <t>Off Peak</t>
  </si>
  <si>
    <t>on peak</t>
  </si>
  <si>
    <t>off peak</t>
  </si>
  <si>
    <t>RS TOU - BGS</t>
  </si>
  <si>
    <t>% Usage During ACECO On-Peak Billing Period</t>
  </si>
  <si>
    <t xml:space="preserve"> 'Based on 3 Year Average</t>
  </si>
  <si>
    <t>($/MWH)</t>
  </si>
  <si>
    <t>Summary of Average BGS Energy Only Costs @ customer - PJM Time Periods</t>
  </si>
  <si>
    <t>based on Forwards prices corrected for congestion &amp; losses</t>
  </si>
  <si>
    <t>in $1000</t>
  </si>
  <si>
    <t>PJM on pk</t>
  </si>
  <si>
    <t>PJM off pk</t>
  </si>
  <si>
    <t>System Total</t>
  </si>
  <si>
    <t>Summary of Average BGS Energy Only Unit Costs @ customer - ACECO Time Periods</t>
  </si>
  <si>
    <t>based on Forwards prices corrected for congestion &amp; losses - ACECO billing time periods</t>
  </si>
  <si>
    <t>Annual Average</t>
  </si>
  <si>
    <t>System Average</t>
  </si>
  <si>
    <t>ACECO On pk</t>
  </si>
  <si>
    <t>ACECO Off pk</t>
  </si>
  <si>
    <t>MWhs in PJM time periods</t>
  </si>
  <si>
    <t>Difference in MWhs</t>
  </si>
  <si>
    <t>Check on total $ recovered</t>
  </si>
  <si>
    <t>PJM time periods (Table #8)</t>
  </si>
  <si>
    <t>MWhs in ACECO time periods</t>
  </si>
  <si>
    <t>(PJM - ACECO)</t>
  </si>
  <si>
    <t>ACECO time periods</t>
  </si>
  <si>
    <t xml:space="preserve">ACECO On-Peak </t>
  </si>
  <si>
    <t>ACECO Off-Peak</t>
  </si>
  <si>
    <t>Total Rate Revenue - in $1000</t>
  </si>
  <si>
    <t>Total Supplier Payment - in $1000</t>
  </si>
  <si>
    <t>line #</t>
  </si>
  <si>
    <t>Payment Identifier &gt;&gt;</t>
  </si>
  <si>
    <t>Notes:</t>
  </si>
  <si>
    <t>Winning Bid - in $/MWh</t>
  </si>
  <si>
    <t>winning Bids</t>
  </si>
  <si>
    <t># of Traunches for Bid</t>
  </si>
  <si>
    <t>from then current Bid</t>
  </si>
  <si>
    <t>Total # of Traunches</t>
  </si>
  <si>
    <t>Payment Factors</t>
  </si>
  <si>
    <t xml:space="preserve">                           Summer</t>
  </si>
  <si>
    <t>from then current Bid Factor Spreadsheet</t>
  </si>
  <si>
    <t xml:space="preserve">                           Winter</t>
  </si>
  <si>
    <t>Applicable Customer Usage @ bulk system - in MWh</t>
  </si>
  <si>
    <t xml:space="preserve">                           Summer MWh</t>
  </si>
  <si>
    <t>from current Bid Factor Spreadsheet</t>
  </si>
  <si>
    <t xml:space="preserve">                           Winter MWh</t>
  </si>
  <si>
    <t>Total Payment to Suppliers - in $1000</t>
  </si>
  <si>
    <t xml:space="preserve">                           Total</t>
  </si>
  <si>
    <t>Average Payment to Suppliers - in $/MWh</t>
  </si>
  <si>
    <t xml:space="preserve">                Total weighted average</t>
  </si>
  <si>
    <t xml:space="preserve">   &lt;&lt;&lt; used in calculation of</t>
  </si>
  <si>
    <t xml:space="preserve">           Customer Rates</t>
  </si>
  <si>
    <t xml:space="preserve">   rounded to 2 decimal places</t>
  </si>
  <si>
    <t>Reconciliation of amounts - in $1000</t>
  </si>
  <si>
    <t>Weighted avg * Total MWh =</t>
  </si>
  <si>
    <t>Total Payment to Suppliers =</t>
  </si>
  <si>
    <t>= sum (line 10)</t>
  </si>
  <si>
    <t>Difference =</t>
  </si>
  <si>
    <t>Ratio of BGS Unit Costs @ customer to All-In Average Cost @ bulk system</t>
  </si>
  <si>
    <t>from Table #14 of the bid factor spreadsheet ---</t>
  </si>
  <si>
    <t>Annual - all hrs</t>
  </si>
  <si>
    <t xml:space="preserve">   rounded to 4 decimal places</t>
  </si>
  <si>
    <t>Total Summer</t>
  </si>
  <si>
    <t>Total Winter</t>
  </si>
  <si>
    <t>Grand Total</t>
  </si>
  <si>
    <t>Differences - in $1000</t>
  </si>
  <si>
    <t>% difference</t>
  </si>
  <si>
    <t xml:space="preserve">Note: These differences are due to rounding and seasonal differences in Bidder Payments (which are based on prior </t>
  </si>
  <si>
    <t xml:space="preserve">          wining bids and Seasonal Payment Factors) and current Rates (based on current seasonal market differentials)</t>
  </si>
  <si>
    <t>Block 1</t>
  </si>
  <si>
    <t>Block 2</t>
  </si>
  <si>
    <t>PJM trading time periods - 7 AM to 11 PM weekdays, local time, x NERC holidays</t>
  </si>
  <si>
    <t xml:space="preserve">     - New Year's, Memorial, 4th of July, Labor Day, Thanksgiving &amp; Christmas</t>
  </si>
  <si>
    <t>kWh Rate</t>
  </si>
  <si>
    <t>Adjustment</t>
  </si>
  <si>
    <t xml:space="preserve">   rounded to 5 decimal places</t>
  </si>
  <si>
    <t>Factors</t>
  </si>
  <si>
    <t>round to 3 decimal places</t>
  </si>
  <si>
    <t>Table D</t>
  </si>
  <si>
    <r>
      <t xml:space="preserve">Revenue Recovery Calculations - </t>
    </r>
    <r>
      <rPr>
        <i/>
        <sz val="10"/>
        <rFont val="Arial"/>
        <family val="2"/>
      </rPr>
      <t>Reconciliation of seasonal Customer Revenue and Supplier Payments, based on actual anticipated revenues and payments</t>
    </r>
  </si>
  <si>
    <t>Table C</t>
  </si>
  <si>
    <r>
      <t xml:space="preserve">Preliminary Resulting BGS Rates (in cents per kWh) - </t>
    </r>
    <r>
      <rPr>
        <i/>
        <sz val="10"/>
        <rFont val="Arial"/>
        <family val="2"/>
      </rPr>
      <t>equal to bid factors times weighted average bid price</t>
    </r>
  </si>
  <si>
    <t>Table E</t>
  </si>
  <si>
    <r>
      <t xml:space="preserve">Final Resulting BGS Rates (in cents per kWh) - </t>
    </r>
    <r>
      <rPr>
        <i/>
        <sz val="10"/>
        <rFont val="Arial"/>
        <family val="2"/>
      </rPr>
      <t>with preliminary kWh rates adjusted by the kWh Rate Adjustment Factor</t>
    </r>
  </si>
  <si>
    <t>Table F</t>
  </si>
  <si>
    <r>
      <t>Spreadsheet Error Checking</t>
    </r>
    <r>
      <rPr>
        <i/>
        <sz val="10"/>
        <rFont val="Arial"/>
        <family val="2"/>
      </rPr>
      <t xml:space="preserve"> - Checking of seasonal Customer Revenue and Supplier Payments, based on final actual anticipated revenues and payments</t>
    </r>
  </si>
  <si>
    <t>Table A</t>
  </si>
  <si>
    <t>Auction Results</t>
  </si>
  <si>
    <t>Table B</t>
  </si>
  <si>
    <t>Table #18</t>
  </si>
  <si>
    <t>Weighted Avg. Winning Bid &gt;&gt;&gt;&gt;</t>
  </si>
  <si>
    <t>Less Transmission &gt;&gt;&gt;&gt;&gt;&gt;&gt;&gt;&gt;</t>
  </si>
  <si>
    <t>BGS Avg. Price &gt;&gt;&gt;&gt;&gt;&gt;&gt;&gt;&gt;&gt;&gt;</t>
  </si>
  <si>
    <t>Table #19</t>
  </si>
  <si>
    <t>in $/kWh</t>
  </si>
  <si>
    <t>Revenue Assessment Factor</t>
  </si>
  <si>
    <t>(BPU, RPA Assessments)</t>
  </si>
  <si>
    <t>Marginal Loss Factor (w/ EHV Losses) =</t>
  </si>
  <si>
    <t>Loss Factors + EHV Losses =</t>
  </si>
  <si>
    <t>Delivery Loss Factor</t>
  </si>
  <si>
    <t>Loss Factor w/o Marginal Loss =</t>
  </si>
  <si>
    <t>Expansion Factor w/o Marginal Loss =</t>
  </si>
  <si>
    <t>Atlantic City Electric Company</t>
  </si>
  <si>
    <t xml:space="preserve"> forecasted energy use by class, on/off % from class load profiles</t>
  </si>
  <si>
    <t>Total Capacity</t>
  </si>
  <si>
    <t>Base
Capacity</t>
  </si>
  <si>
    <t>Incremental RPM Capacity</t>
  </si>
  <si>
    <t>Incremental RPM Cost</t>
  </si>
  <si>
    <t>= sum(line 10) / (8) - rounded to 2 decimal places</t>
  </si>
  <si>
    <t>= sum(line 11) / (9) - rounded to 2 decimal places</t>
  </si>
  <si>
    <t>= sum(line 12) / [ (8) + (9)]</t>
  </si>
  <si>
    <t>= (15) * [(8)+(9)] / 1000</t>
  </si>
  <si>
    <t>= line (16) - line (17)</t>
  </si>
  <si>
    <t>total supplier energy</t>
  </si>
  <si>
    <t>Retail Rates Charged to BGS RSCP (Previously "FP") Customers</t>
  </si>
  <si>
    <t>Retail Rates Charged to BGS RSCP Customers including Revenue Assessment and SUT</t>
  </si>
  <si>
    <t xml:space="preserve"> existing approved loss factors</t>
  </si>
  <si>
    <t>Price Difference</t>
  </si>
  <si>
    <t>= (1) * (4)/(5) * (6) * (8) + (2) * (4)/(5) * (8)</t>
  </si>
  <si>
    <t>= (1) * (4)/(5) * (7) * (9) + (2) * (4)/(5) * (9)</t>
  </si>
  <si>
    <t>= (1) + (2)</t>
  </si>
  <si>
    <t>remaining portion of 36 month bid - 2016/17 filing</t>
  </si>
  <si>
    <t xml:space="preserve">WIN </t>
  </si>
  <si>
    <t>Ancillary Services &amp; Renewable Power Cost (forecasted overall annual average)</t>
  </si>
  <si>
    <t xml:space="preserve">Ancillary Services </t>
  </si>
  <si>
    <t>Renewable Power Cost</t>
  </si>
  <si>
    <t>Total Ancillary Services &amp; Renewable Power Costs</t>
  </si>
  <si>
    <t>Renewable Power Cost =</t>
  </si>
  <si>
    <t>Includes energy, G&amp;T obligations, Ancillary Services, and Renewable Power Costs</t>
  </si>
  <si>
    <t>Includes energy, G&amp;T obligations, Ancillary Services, and Renewable Power Costs - unadjusted for billing vs. PJM time period differences</t>
  </si>
  <si>
    <t>Includes energy, Generation capacity obligations, Ancillary Services, and Renewable Power Costs - unadjusted for billing vs. PJM time period differences.  Transmission billed at retail tariff level.</t>
  </si>
  <si>
    <t xml:space="preserve">Includes energy, Generation capacity obligations, Ancillary Services, and Renewable Power Costs - unadjusted for billing vs. PJM time period differences.  </t>
  </si>
  <si>
    <t>Includes energy, Generation Obligations, Ancillary Services, and Renewable Power Costs  - Transmission billed at current Tariff Rates</t>
  </si>
  <si>
    <t>includes energy, G&amp;T obligations, Ancillary Services, and Renewable Power Cost - adjusted to billing time periods</t>
  </si>
  <si>
    <t>Includes energy, Generation Obligations, Ancillary Services, and Renewable Power Costs - Transmission billed at current Tariff Rates</t>
  </si>
  <si>
    <t xml:space="preserve">Quotes for the period June 1, 2018 to May 31, 2019 - corrected for hub-zone basis differential. </t>
  </si>
  <si>
    <t xml:space="preserve"> class totals as of June 2017</t>
  </si>
  <si>
    <t>Calculation of June 2018 to May 2019 BGS-RSCP Rates</t>
  </si>
  <si>
    <t>remaining portion of 36 month bid - 2017/18 filing</t>
  </si>
  <si>
    <t>36 month bid - 2018/19 filing</t>
  </si>
  <si>
    <t>obligations - values effective June 2017; costs are market estimates</t>
  </si>
  <si>
    <t>Incremental Auction RPM Net Zonal Load Price</t>
  </si>
  <si>
    <t>Base Residual Auction</t>
  </si>
  <si>
    <t xml:space="preserve">Used in calculation of Incremental RPM Capacity above - weighted </t>
  </si>
  <si>
    <t>The Incremental RPM Cost is not applicable for tranches from the 2016, 2017, or 2018 BGS-RSCP Auctions</t>
  </si>
  <si>
    <t>based on results of February 2018 BGS RSCP Auction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</si>
</sst>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%"/>
    <numFmt numFmtId="168" formatCode="#,##0.0"/>
    <numFmt numFmtId="169" formatCode="_(&quot;$&quot;* #,##0_);_(&quot;$&quot;* \(#,##0\);_(&quot;$&quot;* &quot;-&quot;??_);_(@_)"/>
    <numFmt numFmtId="170" formatCode="0.000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%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&quot;$&quot;* #,##0.000000_);_(&quot;$&quot;* \(#,##0.000000\);_(&quot;$&quot;* &quot;-&quot;??_);_(@_)"/>
    <numFmt numFmtId="179" formatCode="#,##0.000_);\(#,##0.000\)"/>
    <numFmt numFmtId="180" formatCode="#,##0.0000_);\(#,##0.0000\)"/>
    <numFmt numFmtId="181" formatCode="_(* #,##0.000000_);_(* \(#,##0.000000\);_(* &quot;-&quot;??_);_(@_)"/>
    <numFmt numFmtId="182" formatCode="&quot;$&quot;#,##0.00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95">
    <xf numFmtId="0" fontId="0" fillId="0" borderId="0" xfId="0"/>
    <xf numFmtId="9" fontId="8" fillId="0" borderId="0" xfId="3" applyFont="1" applyFill="1"/>
    <xf numFmtId="9" fontId="8" fillId="0" borderId="0" xfId="3" applyFont="1" applyFill="1" applyBorder="1"/>
    <xf numFmtId="0" fontId="6" fillId="0" borderId="0" xfId="0" applyFont="1" applyFill="1"/>
    <xf numFmtId="0" fontId="4" fillId="0" borderId="0" xfId="0" applyFont="1" applyFill="1"/>
    <xf numFmtId="0" fontId="0" fillId="0" borderId="0" xfId="0" applyFill="1"/>
    <xf numFmtId="44" fontId="8" fillId="0" borderId="0" xfId="2" applyFont="1" applyFill="1"/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9" fillId="0" borderId="0" xfId="0" applyFont="1" applyFill="1" applyAlignment="1">
      <alignment horizontal="center"/>
    </xf>
    <xf numFmtId="170" fontId="7" fillId="0" borderId="0" xfId="0" applyNumberFormat="1" applyFont="1" applyFill="1"/>
    <xf numFmtId="0" fontId="7" fillId="0" borderId="0" xfId="0" applyFont="1" applyFill="1"/>
    <xf numFmtId="170" fontId="9" fillId="0" borderId="0" xfId="0" applyNumberFormat="1" applyFont="1" applyFill="1"/>
    <xf numFmtId="0" fontId="7" fillId="0" borderId="0" xfId="0" applyFont="1" applyFill="1" applyAlignment="1">
      <alignment horizontal="right"/>
    </xf>
    <xf numFmtId="44" fontId="7" fillId="0" borderId="0" xfId="2" quotePrefix="1" applyFont="1" applyFill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" fontId="0" fillId="0" borderId="0" xfId="0" applyNumberFormat="1" applyFill="1" applyBorder="1"/>
    <xf numFmtId="43" fontId="6" fillId="0" borderId="0" xfId="1" quotePrefix="1" applyFont="1" applyFill="1" applyBorder="1"/>
    <xf numFmtId="43" fontId="6" fillId="0" borderId="0" xfId="1" quotePrefix="1" applyNumberFormat="1" applyFont="1" applyFill="1" applyBorder="1"/>
    <xf numFmtId="44" fontId="6" fillId="0" borderId="0" xfId="2" quotePrefix="1" applyFont="1" applyFill="1" applyBorder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center"/>
    </xf>
    <xf numFmtId="164" fontId="7" fillId="0" borderId="0" xfId="0" applyNumberFormat="1" applyFont="1" applyFill="1"/>
    <xf numFmtId="175" fontId="6" fillId="0" borderId="0" xfId="1" quotePrefix="1" applyNumberFormat="1" applyFont="1" applyFill="1" applyBorder="1"/>
    <xf numFmtId="0" fontId="6" fillId="0" borderId="0" xfId="0" applyFont="1" applyFill="1" applyAlignment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" fontId="0" fillId="0" borderId="0" xfId="0" applyNumberFormat="1" applyFill="1"/>
    <xf numFmtId="17" fontId="0" fillId="0" borderId="0" xfId="0" applyNumberFormat="1" applyFill="1" applyAlignment="1">
      <alignment horizontal="right"/>
    </xf>
    <xf numFmtId="44" fontId="7" fillId="0" borderId="0" xfId="2" applyFont="1" applyFill="1"/>
    <xf numFmtId="173" fontId="6" fillId="0" borderId="0" xfId="0" applyNumberFormat="1" applyFont="1" applyFill="1" applyAlignment="1">
      <alignment horizontal="center"/>
    </xf>
    <xf numFmtId="3" fontId="0" fillId="0" borderId="0" xfId="0" applyNumberFormat="1" applyFill="1"/>
    <xf numFmtId="169" fontId="0" fillId="0" borderId="0" xfId="2" applyNumberFormat="1" applyFont="1" applyFill="1"/>
    <xf numFmtId="169" fontId="11" fillId="0" borderId="0" xfId="2" applyNumberFormat="1" applyFont="1" applyFill="1"/>
    <xf numFmtId="169" fontId="0" fillId="0" borderId="0" xfId="0" applyNumberFormat="1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3" fontId="7" fillId="0" borderId="0" xfId="0" applyNumberFormat="1" applyFont="1" applyFill="1"/>
    <xf numFmtId="3" fontId="8" fillId="0" borderId="0" xfId="0" applyNumberFormat="1" applyFont="1" applyFill="1"/>
    <xf numFmtId="43" fontId="7" fillId="0" borderId="0" xfId="1" quotePrefix="1" applyFont="1" applyFill="1"/>
    <xf numFmtId="43" fontId="7" fillId="0" borderId="0" xfId="1" quotePrefix="1" applyNumberFormat="1" applyFont="1" applyFill="1" applyBorder="1"/>
    <xf numFmtId="175" fontId="0" fillId="0" borderId="0" xfId="0" applyNumberFormat="1" applyFill="1"/>
    <xf numFmtId="175" fontId="6" fillId="0" borderId="0" xfId="0" applyNumberFormat="1" applyFont="1" applyFill="1"/>
    <xf numFmtId="0" fontId="6" fillId="0" borderId="0" xfId="0" applyFont="1" applyFill="1" applyAlignment="1">
      <alignment horizontal="right"/>
    </xf>
    <xf numFmtId="43" fontId="7" fillId="0" borderId="0" xfId="1" quotePrefix="1" applyNumberFormat="1" applyFont="1" applyFill="1"/>
    <xf numFmtId="175" fontId="7" fillId="0" borderId="0" xfId="1" quotePrefix="1" applyNumberFormat="1" applyFont="1" applyFill="1"/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9" fontId="1" fillId="0" borderId="0" xfId="2" applyNumberFormat="1" applyFill="1"/>
    <xf numFmtId="169" fontId="1" fillId="0" borderId="0" xfId="2" quotePrefix="1" applyNumberFormat="1" applyFont="1" applyFill="1"/>
    <xf numFmtId="169" fontId="11" fillId="0" borderId="0" xfId="0" applyNumberFormat="1" applyFont="1" applyFill="1"/>
    <xf numFmtId="167" fontId="1" fillId="0" borderId="0" xfId="3" applyNumberFormat="1" applyFill="1"/>
    <xf numFmtId="175" fontId="6" fillId="0" borderId="0" xfId="1" quotePrefix="1" applyNumberFormat="1" applyFont="1" applyFill="1"/>
    <xf numFmtId="169" fontId="1" fillId="0" borderId="0" xfId="2" quotePrefix="1" applyNumberFormat="1" applyFont="1" applyFill="1" applyBorder="1"/>
    <xf numFmtId="169" fontId="11" fillId="0" borderId="0" xfId="2" quotePrefix="1" applyNumberFormat="1" applyFont="1" applyFill="1" applyBorder="1"/>
    <xf numFmtId="169" fontId="0" fillId="0" borderId="0" xfId="0" applyNumberFormat="1" applyFill="1" applyBorder="1"/>
    <xf numFmtId="174" fontId="1" fillId="0" borderId="0" xfId="1" applyNumberFormat="1" applyFill="1"/>
    <xf numFmtId="174" fontId="1" fillId="0" borderId="0" xfId="1" quotePrefix="1" applyNumberFormat="1" applyFont="1" applyFill="1"/>
    <xf numFmtId="174" fontId="11" fillId="0" borderId="0" xfId="1" applyNumberFormat="1" applyFont="1" applyFill="1"/>
    <xf numFmtId="174" fontId="0" fillId="0" borderId="0" xfId="1" applyNumberFormat="1" applyFont="1" applyFill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165" fontId="0" fillId="0" borderId="6" xfId="0" applyNumberFormat="1" applyFill="1" applyBorder="1"/>
    <xf numFmtId="169" fontId="0" fillId="0" borderId="0" xfId="2" quotePrefix="1" applyNumberFormat="1" applyFont="1" applyFill="1"/>
    <xf numFmtId="0" fontId="0" fillId="0" borderId="0" xfId="0" applyFill="1" applyBorder="1" applyAlignment="1">
      <alignment horizontal="right"/>
    </xf>
    <xf numFmtId="179" fontId="14" fillId="0" borderId="0" xfId="1" applyNumberFormat="1" applyFont="1" applyFill="1" applyBorder="1" applyAlignment="1">
      <alignment horizontal="left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center"/>
    </xf>
    <xf numFmtId="10" fontId="8" fillId="0" borderId="0" xfId="3" quotePrefix="1" applyNumberFormat="1" applyFont="1" applyFill="1"/>
    <xf numFmtId="169" fontId="8" fillId="0" borderId="0" xfId="2" applyNumberFormat="1" applyFont="1" applyFill="1"/>
    <xf numFmtId="167" fontId="8" fillId="0" borderId="0" xfId="0" applyNumberFormat="1" applyFont="1" applyFill="1"/>
    <xf numFmtId="4" fontId="8" fillId="0" borderId="0" xfId="0" applyNumberFormat="1" applyFont="1" applyFill="1"/>
    <xf numFmtId="166" fontId="8" fillId="0" borderId="0" xfId="0" applyNumberFormat="1" applyFont="1" applyFill="1"/>
    <xf numFmtId="0" fontId="0" fillId="0" borderId="0" xfId="0" applyFill="1" applyAlignment="1"/>
    <xf numFmtId="0" fontId="12" fillId="0" borderId="3" xfId="0" applyFont="1" applyFill="1" applyBorder="1"/>
    <xf numFmtId="171" fontId="6" fillId="0" borderId="0" xfId="2" applyNumberFormat="1" applyFont="1" applyFill="1" applyBorder="1"/>
    <xf numFmtId="0" fontId="12" fillId="0" borderId="6" xfId="0" applyFont="1" applyFill="1" applyBorder="1"/>
    <xf numFmtId="0" fontId="12" fillId="0" borderId="7" xfId="0" applyFont="1" applyFill="1" applyBorder="1"/>
    <xf numFmtId="44" fontId="6" fillId="0" borderId="0" xfId="2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6" fillId="0" borderId="0" xfId="0" quotePrefix="1" applyFont="1" applyFill="1" applyBorder="1"/>
    <xf numFmtId="39" fontId="7" fillId="0" borderId="0" xfId="0" quotePrefix="1" applyNumberFormat="1" applyFont="1" applyFill="1"/>
    <xf numFmtId="0" fontId="4" fillId="0" borderId="0" xfId="0" quotePrefix="1" applyFont="1" applyFill="1"/>
    <xf numFmtId="0" fontId="4" fillId="0" borderId="0" xfId="0" applyFont="1" applyFill="1" applyAlignment="1">
      <alignment horizontal="center"/>
    </xf>
    <xf numFmtId="9" fontId="8" fillId="0" borderId="0" xfId="3" quotePrefix="1" applyFont="1" applyFill="1"/>
    <xf numFmtId="9" fontId="7" fillId="0" borderId="0" xfId="3" quotePrefix="1" applyFont="1" applyFill="1"/>
    <xf numFmtId="9" fontId="0" fillId="0" borderId="0" xfId="0" applyNumberFormat="1" applyFill="1"/>
    <xf numFmtId="17" fontId="6" fillId="0" borderId="0" xfId="0" applyNumberFormat="1" applyFont="1" applyFill="1"/>
    <xf numFmtId="165" fontId="0" fillId="0" borderId="0" xfId="0" applyNumberFormat="1" applyFill="1"/>
    <xf numFmtId="177" fontId="0" fillId="0" borderId="0" xfId="1" applyNumberFormat="1" applyFont="1" applyFill="1"/>
    <xf numFmtId="39" fontId="7" fillId="0" borderId="0" xfId="0" applyNumberFormat="1" applyFont="1" applyFill="1"/>
    <xf numFmtId="39" fontId="0" fillId="0" borderId="0" xfId="0" applyNumberFormat="1" applyFill="1"/>
    <xf numFmtId="2" fontId="0" fillId="0" borderId="0" xfId="0" applyNumberFormat="1" applyFill="1"/>
    <xf numFmtId="2" fontId="6" fillId="0" borderId="0" xfId="0" applyNumberFormat="1" applyFont="1" applyFill="1"/>
    <xf numFmtId="2" fontId="16" fillId="0" borderId="0" xfId="0" applyNumberFormat="1" applyFont="1" applyFill="1"/>
    <xf numFmtId="0" fontId="0" fillId="0" borderId="0" xfId="0" quotePrefix="1" applyFill="1"/>
    <xf numFmtId="44" fontId="1" fillId="0" borderId="0" xfId="2" applyFill="1"/>
    <xf numFmtId="44" fontId="1" fillId="0" borderId="0" xfId="2" quotePrefix="1" applyFont="1" applyFill="1"/>
    <xf numFmtId="44" fontId="0" fillId="0" borderId="0" xfId="0" applyNumberFormat="1" applyFill="1"/>
    <xf numFmtId="172" fontId="0" fillId="0" borderId="0" xfId="0" applyNumberFormat="1" applyFill="1"/>
    <xf numFmtId="171" fontId="0" fillId="0" borderId="0" xfId="0" applyNumberFormat="1" applyFill="1"/>
    <xf numFmtId="9" fontId="1" fillId="0" borderId="0" xfId="3" applyFill="1"/>
    <xf numFmtId="169" fontId="1" fillId="0" borderId="0" xfId="3" applyNumberFormat="1" applyFill="1"/>
    <xf numFmtId="181" fontId="0" fillId="0" borderId="0" xfId="0" applyNumberFormat="1" applyFill="1"/>
    <xf numFmtId="0" fontId="7" fillId="0" borderId="0" xfId="0" applyFont="1" applyFill="1" applyBorder="1"/>
    <xf numFmtId="178" fontId="0" fillId="0" borderId="0" xfId="0" applyNumberFormat="1" applyFill="1" applyBorder="1"/>
    <xf numFmtId="17" fontId="0" fillId="0" borderId="0" xfId="0" applyNumberFormat="1" applyFill="1" applyBorder="1" applyAlignment="1">
      <alignment horizontal="right"/>
    </xf>
    <xf numFmtId="17" fontId="4" fillId="0" borderId="0" xfId="0" applyNumberFormat="1" applyFont="1" applyFill="1"/>
    <xf numFmtId="10" fontId="13" fillId="0" borderId="0" xfId="0" applyNumberFormat="1" applyFont="1" applyFill="1"/>
    <xf numFmtId="3" fontId="4" fillId="0" borderId="0" xfId="0" applyNumberFormat="1" applyFont="1" applyFill="1" applyAlignment="1">
      <alignment horizontal="left"/>
    </xf>
    <xf numFmtId="3" fontId="0" fillId="0" borderId="0" xfId="0" quotePrefix="1" applyNumberFormat="1" applyFill="1"/>
    <xf numFmtId="17" fontId="0" fillId="0" borderId="0" xfId="0" applyNumberFormat="1" applyFill="1" applyAlignment="1">
      <alignment horizontal="center"/>
    </xf>
    <xf numFmtId="168" fontId="8" fillId="0" borderId="0" xfId="0" applyNumberFormat="1" applyFont="1" applyFill="1"/>
    <xf numFmtId="168" fontId="0" fillId="0" borderId="0" xfId="0" applyNumberFormat="1" applyFill="1"/>
    <xf numFmtId="176" fontId="6" fillId="0" borderId="0" xfId="0" applyNumberFormat="1" applyFont="1" applyFill="1" applyAlignment="1">
      <alignment horizontal="center"/>
    </xf>
    <xf numFmtId="168" fontId="7" fillId="0" borderId="0" xfId="0" applyNumberFormat="1" applyFont="1" applyFill="1"/>
    <xf numFmtId="0" fontId="0" fillId="0" borderId="0" xfId="0" quotePrefix="1" applyFill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7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44" fontId="7" fillId="0" borderId="0" xfId="2" applyNumberFormat="1" applyFont="1" applyFill="1"/>
    <xf numFmtId="174" fontId="0" fillId="0" borderId="0" xfId="0" applyNumberFormat="1" applyFill="1"/>
    <xf numFmtId="0" fontId="14" fillId="0" borderId="0" xfId="0" applyFont="1" applyFill="1" applyBorder="1"/>
    <xf numFmtId="180" fontId="15" fillId="0" borderId="0" xfId="1" applyNumberFormat="1" applyFont="1" applyFill="1" applyBorder="1" applyAlignment="1">
      <alignment horizontal="center"/>
    </xf>
    <xf numFmtId="176" fontId="0" fillId="0" borderId="0" xfId="0" applyNumberFormat="1" applyFill="1" applyBorder="1"/>
    <xf numFmtId="43" fontId="0" fillId="0" borderId="0" xfId="0" applyNumberFormat="1" applyFill="1" applyBorder="1"/>
    <xf numFmtId="178" fontId="0" fillId="0" borderId="0" xfId="0" applyNumberFormat="1" applyFill="1"/>
    <xf numFmtId="0" fontId="5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center" wrapText="1"/>
    </xf>
    <xf numFmtId="10" fontId="1" fillId="0" borderId="0" xfId="3" applyNumberFormat="1" applyFill="1"/>
    <xf numFmtId="9" fontId="1" fillId="0" borderId="0" xfId="3" applyFont="1" applyFill="1"/>
    <xf numFmtId="166" fontId="7" fillId="0" borderId="0" xfId="0" applyNumberFormat="1" applyFont="1" applyFill="1"/>
    <xf numFmtId="44" fontId="1" fillId="0" borderId="0" xfId="2" applyNumberFormat="1" applyFill="1"/>
    <xf numFmtId="172" fontId="7" fillId="0" borderId="0" xfId="2" applyNumberFormat="1" applyFont="1" applyFill="1"/>
    <xf numFmtId="44" fontId="6" fillId="0" borderId="0" xfId="2" quotePrefix="1" applyNumberFormat="1" applyFont="1" applyFill="1"/>
    <xf numFmtId="0" fontId="5" fillId="0" borderId="0" xfId="0" applyFont="1" applyFill="1"/>
    <xf numFmtId="166" fontId="5" fillId="0" borderId="0" xfId="0" applyNumberFormat="1" applyFont="1" applyFill="1"/>
    <xf numFmtId="0" fontId="0" fillId="0" borderId="1" xfId="0" applyFill="1" applyBorder="1"/>
    <xf numFmtId="0" fontId="9" fillId="0" borderId="6" xfId="0" applyFont="1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0" fontId="0" fillId="0" borderId="8" xfId="0" applyFill="1" applyBorder="1"/>
    <xf numFmtId="169" fontId="7" fillId="0" borderId="0" xfId="2" quotePrefix="1" applyNumberFormat="1" applyFont="1" applyFill="1"/>
    <xf numFmtId="169" fontId="7" fillId="0" borderId="0" xfId="2" applyNumberFormat="1" applyFont="1" applyFill="1"/>
    <xf numFmtId="44" fontId="7" fillId="0" borderId="0" xfId="2" quotePrefix="1" applyNumberFormat="1" applyFont="1" applyFill="1"/>
    <xf numFmtId="169" fontId="0" fillId="0" borderId="2" xfId="0" applyNumberFormat="1" applyFill="1" applyBorder="1"/>
    <xf numFmtId="10" fontId="7" fillId="0" borderId="0" xfId="0" applyNumberFormat="1" applyFont="1" applyFill="1"/>
    <xf numFmtId="2" fontId="6" fillId="0" borderId="0" xfId="0" applyNumberFormat="1" applyFont="1" applyFill="1" applyBorder="1"/>
    <xf numFmtId="176" fontId="6" fillId="0" borderId="0" xfId="1" applyNumberFormat="1" applyFont="1" applyFill="1"/>
    <xf numFmtId="171" fontId="6" fillId="0" borderId="5" xfId="2" applyNumberFormat="1" applyFont="1" applyFill="1" applyBorder="1"/>
    <xf numFmtId="171" fontId="6" fillId="0" borderId="1" xfId="2" applyNumberFormat="1" applyFont="1" applyFill="1" applyBorder="1"/>
    <xf numFmtId="43" fontId="0" fillId="0" borderId="0" xfId="0" applyNumberFormat="1" applyFill="1"/>
    <xf numFmtId="170" fontId="0" fillId="0" borderId="0" xfId="0" applyNumberFormat="1" applyFill="1" applyBorder="1"/>
    <xf numFmtId="178" fontId="1" fillId="0" borderId="0" xfId="2" applyNumberFormat="1" applyFill="1" applyBorder="1"/>
    <xf numFmtId="167" fontId="0" fillId="0" borderId="0" xfId="3" applyNumberFormat="1" applyFont="1" applyFill="1"/>
    <xf numFmtId="174" fontId="1" fillId="0" borderId="0" xfId="1" quotePrefix="1" applyNumberFormat="1" applyFill="1" applyBorder="1" applyAlignment="1">
      <alignment horizontal="left"/>
    </xf>
    <xf numFmtId="168" fontId="13" fillId="0" borderId="0" xfId="0" applyNumberFormat="1" applyFont="1" applyFill="1"/>
    <xf numFmtId="174" fontId="0" fillId="0" borderId="2" xfId="1" applyNumberFormat="1" applyFont="1" applyFill="1" applyBorder="1"/>
    <xf numFmtId="165" fontId="0" fillId="0" borderId="0" xfId="0" applyNumberFormat="1" applyFill="1" applyBorder="1"/>
    <xf numFmtId="167" fontId="0" fillId="0" borderId="0" xfId="0" applyNumberFormat="1" applyFill="1"/>
    <xf numFmtId="165" fontId="1" fillId="0" borderId="0" xfId="0" applyNumberFormat="1" applyFont="1" applyFill="1"/>
    <xf numFmtId="164" fontId="8" fillId="0" borderId="0" xfId="0" applyNumberFormat="1" applyFont="1" applyFill="1"/>
    <xf numFmtId="164" fontId="8" fillId="0" borderId="9" xfId="0" applyNumberFormat="1" applyFont="1" applyFill="1" applyBorder="1"/>
    <xf numFmtId="164" fontId="0" fillId="0" borderId="10" xfId="0" applyNumberFormat="1" applyFill="1" applyBorder="1"/>
    <xf numFmtId="164" fontId="0" fillId="0" borderId="11" xfId="0" applyNumberFormat="1" applyFill="1" applyBorder="1"/>
    <xf numFmtId="182" fontId="1" fillId="0" borderId="0" xfId="2" applyNumberFormat="1" applyFont="1" applyFill="1" applyAlignment="1">
      <alignment horizontal="center" wrapText="1"/>
    </xf>
    <xf numFmtId="7" fontId="8" fillId="0" borderId="0" xfId="2" applyNumberFormat="1" applyFont="1" applyFill="1"/>
    <xf numFmtId="0" fontId="1" fillId="0" borderId="0" xfId="0" quotePrefix="1" applyFont="1" applyFill="1"/>
    <xf numFmtId="171" fontId="6" fillId="0" borderId="8" xfId="2" applyNumberFormat="1" applyFont="1" applyFill="1" applyBorder="1"/>
    <xf numFmtId="164" fontId="6" fillId="0" borderId="0" xfId="0" applyNumberFormat="1" applyFont="1" applyFill="1"/>
    <xf numFmtId="44" fontId="8" fillId="2" borderId="2" xfId="2" applyFont="1" applyFill="1" applyBorder="1"/>
    <xf numFmtId="0" fontId="1" fillId="0" borderId="2" xfId="0" applyFont="1" applyFill="1" applyBorder="1"/>
    <xf numFmtId="44" fontId="8" fillId="0" borderId="2" xfId="2" applyFont="1" applyFill="1" applyBorder="1"/>
    <xf numFmtId="169" fontId="1" fillId="0" borderId="2" xfId="2" applyNumberFormat="1" applyFill="1" applyBorder="1"/>
    <xf numFmtId="44" fontId="17" fillId="0" borderId="0" xfId="2" quotePrefix="1" applyNumberFormat="1" applyFont="1" applyFill="1"/>
    <xf numFmtId="44" fontId="17" fillId="0" borderId="2" xfId="2" quotePrefix="1" applyNumberFormat="1" applyFont="1" applyFill="1" applyBorder="1"/>
    <xf numFmtId="44" fontId="1" fillId="0" borderId="0" xfId="2" applyFont="1" applyFill="1"/>
    <xf numFmtId="0" fontId="1" fillId="0" borderId="0" xfId="0" applyFont="1" applyFill="1" applyAlignment="1">
      <alignment horizontal="right"/>
    </xf>
    <xf numFmtId="167" fontId="1" fillId="0" borderId="0" xfId="0" applyNumberFormat="1" applyFont="1" applyFill="1"/>
    <xf numFmtId="170" fontId="0" fillId="0" borderId="0" xfId="0" applyNumberFormat="1" applyFill="1"/>
    <xf numFmtId="44" fontId="6" fillId="0" borderId="0" xfId="0" applyNumberFormat="1" applyFont="1" applyFill="1" applyAlignment="1">
      <alignment horizontal="center"/>
    </xf>
    <xf numFmtId="174" fontId="17" fillId="0" borderId="0" xfId="1" quotePrefix="1" applyNumberFormat="1" applyFont="1" applyFill="1" applyBorder="1" applyAlignment="1">
      <alignment horizontal="left"/>
    </xf>
    <xf numFmtId="174" fontId="17" fillId="0" borderId="2" xfId="1" quotePrefix="1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64"/>
  <sheetViews>
    <sheetView tabSelected="1" topLeftCell="A244" zoomScale="75" zoomScaleNormal="75" workbookViewId="0">
      <selection activeCell="H300" sqref="H300"/>
    </sheetView>
  </sheetViews>
  <sheetFormatPr defaultColWidth="9.109375" defaultRowHeight="13.2" x14ac:dyDescent="0.25"/>
  <cols>
    <col min="1" max="1" width="16.44140625" style="27" bestFit="1" customWidth="1"/>
    <col min="2" max="2" width="42.33203125" style="5" customWidth="1"/>
    <col min="3" max="3" width="14.33203125" style="5" customWidth="1"/>
    <col min="4" max="4" width="16.44140625" style="5" customWidth="1"/>
    <col min="5" max="5" width="14.88671875" style="5" customWidth="1"/>
    <col min="6" max="6" width="12.5546875" style="5" customWidth="1"/>
    <col min="7" max="7" width="12.88671875" style="5" customWidth="1"/>
    <col min="8" max="8" width="13.6640625" style="5" customWidth="1"/>
    <col min="9" max="9" width="17.44140625" style="5" customWidth="1"/>
    <col min="10" max="10" width="15.88671875" style="5" customWidth="1"/>
    <col min="11" max="11" width="10.6640625" style="5" customWidth="1"/>
    <col min="12" max="12" width="10.6640625" style="5" bestFit="1" customWidth="1"/>
    <col min="13" max="13" width="13.44140625" style="5" bestFit="1" customWidth="1"/>
    <col min="14" max="14" width="14.44140625" style="5" bestFit="1" customWidth="1"/>
    <col min="15" max="15" width="12.5546875" style="5" bestFit="1" customWidth="1"/>
    <col min="16" max="16" width="20.6640625" style="5" customWidth="1"/>
    <col min="17" max="17" width="23.88671875" style="5" bestFit="1" customWidth="1"/>
    <col min="18" max="18" width="18.44140625" style="5" bestFit="1" customWidth="1"/>
    <col min="19" max="19" width="25" style="5" bestFit="1" customWidth="1"/>
    <col min="20" max="20" width="25.33203125" style="5" bestFit="1" customWidth="1"/>
    <col min="21" max="21" width="10.109375" style="5" bestFit="1" customWidth="1"/>
    <col min="22" max="22" width="9.109375" style="5"/>
    <col min="23" max="23" width="10.109375" style="5" bestFit="1" customWidth="1"/>
    <col min="24" max="24" width="10.33203125" style="5" customWidth="1"/>
    <col min="25" max="25" width="11.88671875" style="5" customWidth="1"/>
    <col min="26" max="27" width="9.109375" style="5"/>
    <col min="28" max="28" width="14.109375" style="5" customWidth="1"/>
    <col min="29" max="16384" width="9.109375" style="5"/>
  </cols>
  <sheetData>
    <row r="2" spans="1:22" ht="15.6" x14ac:dyDescent="0.3">
      <c r="B2" s="88"/>
    </row>
    <row r="3" spans="1:22" x14ac:dyDescent="0.25">
      <c r="A3" s="89"/>
    </row>
    <row r="4" spans="1:22" x14ac:dyDescent="0.25">
      <c r="F4" s="33"/>
    </row>
    <row r="5" spans="1:22" x14ac:dyDescent="0.25">
      <c r="A5" s="32" t="s">
        <v>0</v>
      </c>
      <c r="B5" s="90" t="s">
        <v>1</v>
      </c>
      <c r="C5" s="91"/>
      <c r="D5" s="91"/>
      <c r="F5" s="4" t="s">
        <v>2</v>
      </c>
      <c r="N5" s="90"/>
      <c r="O5" s="90" t="s">
        <v>3</v>
      </c>
      <c r="P5" s="90"/>
      <c r="Q5" s="12"/>
      <c r="R5" s="12"/>
      <c r="S5" s="12"/>
      <c r="T5" s="12"/>
      <c r="U5" s="12"/>
      <c r="V5" s="12"/>
    </row>
    <row r="6" spans="1:22" x14ac:dyDescent="0.25">
      <c r="A6" s="32"/>
      <c r="B6" s="92" t="s">
        <v>4</v>
      </c>
      <c r="C6" s="91"/>
      <c r="D6" s="91"/>
      <c r="F6" s="4"/>
      <c r="N6" s="90"/>
      <c r="O6" s="90"/>
      <c r="P6" s="90"/>
      <c r="Q6" s="12"/>
      <c r="R6" s="12"/>
      <c r="S6" s="12"/>
      <c r="T6" s="12"/>
      <c r="U6" s="12"/>
      <c r="V6" s="12"/>
    </row>
    <row r="7" spans="1:22" x14ac:dyDescent="0.25">
      <c r="A7" s="33"/>
      <c r="C7" s="50" t="s">
        <v>5</v>
      </c>
      <c r="D7" s="50" t="s">
        <v>139</v>
      </c>
      <c r="E7" s="50" t="s">
        <v>6</v>
      </c>
      <c r="F7" s="50" t="s">
        <v>7</v>
      </c>
      <c r="G7" s="50" t="s">
        <v>8</v>
      </c>
      <c r="H7" s="50" t="s">
        <v>9</v>
      </c>
      <c r="I7" s="50" t="s">
        <v>10</v>
      </c>
      <c r="J7" s="50" t="s">
        <v>11</v>
      </c>
      <c r="L7" s="28"/>
      <c r="N7" s="93"/>
      <c r="O7" s="28" t="s">
        <v>5</v>
      </c>
      <c r="P7" s="28" t="s">
        <v>139</v>
      </c>
      <c r="Q7" s="28" t="s">
        <v>6</v>
      </c>
      <c r="R7" s="28" t="s">
        <v>7</v>
      </c>
      <c r="S7" s="28" t="s">
        <v>8</v>
      </c>
      <c r="T7" s="28" t="s">
        <v>9</v>
      </c>
      <c r="U7" s="28" t="s">
        <v>10</v>
      </c>
      <c r="V7" s="28" t="s">
        <v>11</v>
      </c>
    </row>
    <row r="8" spans="1:22" x14ac:dyDescent="0.25">
      <c r="A8" s="33"/>
      <c r="O8" s="12"/>
      <c r="P8" s="12"/>
      <c r="Q8" s="12"/>
      <c r="R8" s="12"/>
      <c r="S8" s="12"/>
      <c r="T8" s="12"/>
      <c r="U8" s="12"/>
      <c r="V8" s="12"/>
    </row>
    <row r="9" spans="1:22" x14ac:dyDescent="0.25">
      <c r="A9" s="33"/>
      <c r="B9" s="34" t="s">
        <v>12</v>
      </c>
      <c r="C9" s="77">
        <v>0.46928764353395519</v>
      </c>
      <c r="D9" s="77">
        <v>0.46882254879454377</v>
      </c>
      <c r="E9" s="77">
        <v>0.51955724563928252</v>
      </c>
      <c r="F9" s="77">
        <v>0.47294176351823553</v>
      </c>
      <c r="G9" s="77">
        <v>0.50215240399119598</v>
      </c>
      <c r="H9" s="77">
        <v>0.46308149570083723</v>
      </c>
      <c r="I9" s="77">
        <v>0.3113054904443352</v>
      </c>
      <c r="J9" s="77">
        <v>0.43420917123011943</v>
      </c>
      <c r="L9" s="94"/>
      <c r="N9" s="94"/>
      <c r="O9" s="95">
        <f t="shared" ref="O9:O20" si="0">1-C9</f>
        <v>0.53071235646604475</v>
      </c>
      <c r="P9" s="95">
        <f t="shared" ref="P9:P20" si="1">1-D9</f>
        <v>0.53117745120545623</v>
      </c>
      <c r="Q9" s="95">
        <f t="shared" ref="Q9:Q20" si="2">1-E9</f>
        <v>0.48044275436071748</v>
      </c>
      <c r="R9" s="95">
        <f t="shared" ref="R9:R20" si="3">1-F9</f>
        <v>0.52705823648176442</v>
      </c>
      <c r="S9" s="95">
        <f t="shared" ref="S9:S20" si="4">1-G9</f>
        <v>0.49784759600880402</v>
      </c>
      <c r="T9" s="95">
        <f t="shared" ref="T9:T20" si="5">1-H9</f>
        <v>0.53691850429916277</v>
      </c>
      <c r="U9" s="95">
        <f>1-I9</f>
        <v>0.6886945095556648</v>
      </c>
      <c r="V9" s="95">
        <f t="shared" ref="V9:V20" si="6">1-J9</f>
        <v>0.56579082876988052</v>
      </c>
    </row>
    <row r="10" spans="1:22" x14ac:dyDescent="0.25">
      <c r="A10" s="33"/>
      <c r="B10" s="34" t="s">
        <v>13</v>
      </c>
      <c r="C10" s="77">
        <v>0.49548569093997802</v>
      </c>
      <c r="D10" s="77">
        <v>0.4955883757646361</v>
      </c>
      <c r="E10" s="77">
        <v>0.54792816834042379</v>
      </c>
      <c r="F10" s="77">
        <v>0.48896310669137355</v>
      </c>
      <c r="G10" s="77">
        <v>0.55190487932694077</v>
      </c>
      <c r="H10" s="77">
        <v>0.51354310046767948</v>
      </c>
      <c r="I10" s="77">
        <v>0.32638303163555665</v>
      </c>
      <c r="J10" s="77">
        <v>0.48852227068237591</v>
      </c>
      <c r="L10" s="94"/>
      <c r="N10" s="94"/>
      <c r="O10" s="95">
        <f t="shared" si="0"/>
        <v>0.50451430906002193</v>
      </c>
      <c r="P10" s="95">
        <f t="shared" si="1"/>
        <v>0.5044116242353639</v>
      </c>
      <c r="Q10" s="95">
        <f t="shared" si="2"/>
        <v>0.45207183165957621</v>
      </c>
      <c r="R10" s="95">
        <f t="shared" si="3"/>
        <v>0.51103689330862645</v>
      </c>
      <c r="S10" s="95">
        <f t="shared" si="4"/>
        <v>0.44809512067305923</v>
      </c>
      <c r="T10" s="95">
        <f t="shared" si="5"/>
        <v>0.48645689953232052</v>
      </c>
      <c r="U10" s="95">
        <f t="shared" ref="U10:U20" si="7">1-I10</f>
        <v>0.67361696836444329</v>
      </c>
      <c r="V10" s="95">
        <f t="shared" si="6"/>
        <v>0.51147772931762403</v>
      </c>
    </row>
    <row r="11" spans="1:22" x14ac:dyDescent="0.25">
      <c r="A11" s="33"/>
      <c r="B11" s="34" t="s">
        <v>14</v>
      </c>
      <c r="C11" s="77">
        <v>0.53876569275561992</v>
      </c>
      <c r="D11" s="77">
        <v>0.53918390524236604</v>
      </c>
      <c r="E11" s="77">
        <v>0.576104906616695</v>
      </c>
      <c r="F11" s="77">
        <v>0.53153538625544905</v>
      </c>
      <c r="G11" s="77">
        <v>0.60714565946147148</v>
      </c>
      <c r="H11" s="77">
        <v>0.5561799424027376</v>
      </c>
      <c r="I11" s="77">
        <v>0.30910553413487829</v>
      </c>
      <c r="J11" s="77">
        <v>0.52615178248405137</v>
      </c>
      <c r="L11" s="94"/>
      <c r="N11" s="94"/>
      <c r="O11" s="95">
        <f t="shared" si="0"/>
        <v>0.46123430724438008</v>
      </c>
      <c r="P11" s="95">
        <f t="shared" si="1"/>
        <v>0.46081609475763396</v>
      </c>
      <c r="Q11" s="95">
        <f t="shared" si="2"/>
        <v>0.423895093383305</v>
      </c>
      <c r="R11" s="95">
        <f t="shared" si="3"/>
        <v>0.46846461374455095</v>
      </c>
      <c r="S11" s="95">
        <f t="shared" si="4"/>
        <v>0.39285434053852852</v>
      </c>
      <c r="T11" s="95">
        <f t="shared" si="5"/>
        <v>0.4438200575972624</v>
      </c>
      <c r="U11" s="95">
        <f t="shared" si="7"/>
        <v>0.69089446586512171</v>
      </c>
      <c r="V11" s="95">
        <f t="shared" si="6"/>
        <v>0.47384821751594863</v>
      </c>
    </row>
    <row r="12" spans="1:22" x14ac:dyDescent="0.25">
      <c r="A12" s="33"/>
      <c r="B12" s="34" t="s">
        <v>15</v>
      </c>
      <c r="C12" s="77">
        <v>0.51059632255534604</v>
      </c>
      <c r="D12" s="77">
        <v>0.51045922679020261</v>
      </c>
      <c r="E12" s="77">
        <v>0.56407645903634274</v>
      </c>
      <c r="F12" s="77">
        <v>0.50881772789099922</v>
      </c>
      <c r="G12" s="77">
        <v>0.57427459722118002</v>
      </c>
      <c r="H12" s="77">
        <v>0.53173748066969051</v>
      </c>
      <c r="I12" s="77">
        <v>0.24070515430710959</v>
      </c>
      <c r="J12" s="77">
        <v>0.49582462103907754</v>
      </c>
      <c r="L12" s="94"/>
      <c r="N12" s="94"/>
      <c r="O12" s="95">
        <f t="shared" si="0"/>
        <v>0.48940367744465396</v>
      </c>
      <c r="P12" s="95">
        <f t="shared" si="1"/>
        <v>0.48954077320979739</v>
      </c>
      <c r="Q12" s="95">
        <f t="shared" si="2"/>
        <v>0.43592354096365726</v>
      </c>
      <c r="R12" s="95">
        <f t="shared" si="3"/>
        <v>0.49118227210900078</v>
      </c>
      <c r="S12" s="95">
        <f t="shared" si="4"/>
        <v>0.42572540277881998</v>
      </c>
      <c r="T12" s="95">
        <f t="shared" si="5"/>
        <v>0.46826251933030949</v>
      </c>
      <c r="U12" s="95">
        <f t="shared" si="7"/>
        <v>0.75929484569289041</v>
      </c>
      <c r="V12" s="95">
        <f t="shared" si="6"/>
        <v>0.50417537896092246</v>
      </c>
    </row>
    <row r="13" spans="1:22" x14ac:dyDescent="0.25">
      <c r="A13" s="33"/>
      <c r="B13" s="34" t="s">
        <v>16</v>
      </c>
      <c r="C13" s="77">
        <v>0.49759006258756755</v>
      </c>
      <c r="D13" s="77">
        <v>0.50068330384421877</v>
      </c>
      <c r="E13" s="77">
        <v>0.53347237502998379</v>
      </c>
      <c r="F13" s="77">
        <v>0.51442925009863372</v>
      </c>
      <c r="G13" s="77">
        <v>0.55245197180723882</v>
      </c>
      <c r="H13" s="77">
        <v>0.51487738567371066</v>
      </c>
      <c r="I13" s="77">
        <v>0.1986076279072303</v>
      </c>
      <c r="J13" s="77">
        <v>0.47983562509472555</v>
      </c>
      <c r="L13" s="94"/>
      <c r="N13" s="94"/>
      <c r="O13" s="95">
        <f t="shared" si="0"/>
        <v>0.50240993741243245</v>
      </c>
      <c r="P13" s="95">
        <f t="shared" si="1"/>
        <v>0.49931669615578123</v>
      </c>
      <c r="Q13" s="95">
        <f t="shared" si="2"/>
        <v>0.46652762497001621</v>
      </c>
      <c r="R13" s="95">
        <f t="shared" si="3"/>
        <v>0.48557074990136628</v>
      </c>
      <c r="S13" s="95">
        <f t="shared" si="4"/>
        <v>0.44754802819276118</v>
      </c>
      <c r="T13" s="95">
        <f t="shared" si="5"/>
        <v>0.48512261432628934</v>
      </c>
      <c r="U13" s="95">
        <f t="shared" si="7"/>
        <v>0.8013923720927697</v>
      </c>
      <c r="V13" s="95">
        <f t="shared" si="6"/>
        <v>0.52016437490527445</v>
      </c>
    </row>
    <row r="14" spans="1:22" x14ac:dyDescent="0.25">
      <c r="A14" s="33"/>
      <c r="B14" s="34" t="s">
        <v>17</v>
      </c>
      <c r="C14" s="77">
        <v>0.56574808289898404</v>
      </c>
      <c r="D14" s="77">
        <v>0.56645740482116391</v>
      </c>
      <c r="E14" s="77">
        <v>0.58713126038637153</v>
      </c>
      <c r="F14" s="77">
        <v>0.56139817619167998</v>
      </c>
      <c r="G14" s="77">
        <v>0.5972504658010489</v>
      </c>
      <c r="H14" s="77">
        <v>0.55830578040749756</v>
      </c>
      <c r="I14" s="77">
        <v>0.2000727194887478</v>
      </c>
      <c r="J14" s="77">
        <v>0.51946103177004455</v>
      </c>
      <c r="L14" s="94"/>
      <c r="N14" s="94"/>
      <c r="O14" s="95">
        <f t="shared" si="0"/>
        <v>0.43425191710101596</v>
      </c>
      <c r="P14" s="95">
        <f t="shared" si="1"/>
        <v>0.43354259517883609</v>
      </c>
      <c r="Q14" s="95">
        <f t="shared" si="2"/>
        <v>0.41286873961362847</v>
      </c>
      <c r="R14" s="95">
        <f t="shared" si="3"/>
        <v>0.43860182380832002</v>
      </c>
      <c r="S14" s="95">
        <f t="shared" si="4"/>
        <v>0.4027495341989511</v>
      </c>
      <c r="T14" s="95">
        <f t="shared" si="5"/>
        <v>0.44169421959250244</v>
      </c>
      <c r="U14" s="95">
        <f t="shared" si="7"/>
        <v>0.79992728051125217</v>
      </c>
      <c r="V14" s="95">
        <f t="shared" si="6"/>
        <v>0.48053896822995545</v>
      </c>
    </row>
    <row r="15" spans="1:22" x14ac:dyDescent="0.25">
      <c r="A15" s="33"/>
      <c r="B15" s="34" t="s">
        <v>18</v>
      </c>
      <c r="C15" s="77">
        <v>0.52013480850313076</v>
      </c>
      <c r="D15" s="77">
        <v>0.51956232250110668</v>
      </c>
      <c r="E15" s="77">
        <v>0.54274850827610388</v>
      </c>
      <c r="F15" s="77">
        <v>0.50445149147742119</v>
      </c>
      <c r="G15" s="77">
        <v>0.53198643425642855</v>
      </c>
      <c r="H15" s="77">
        <v>0.49573566685203035</v>
      </c>
      <c r="I15" s="77">
        <v>0.17579671272586364</v>
      </c>
      <c r="J15" s="77">
        <v>0.45699489985652786</v>
      </c>
      <c r="L15" s="94"/>
      <c r="N15" s="94"/>
      <c r="O15" s="95">
        <f t="shared" si="0"/>
        <v>0.47986519149686924</v>
      </c>
      <c r="P15" s="95">
        <f t="shared" si="1"/>
        <v>0.48043767749889332</v>
      </c>
      <c r="Q15" s="95">
        <f t="shared" si="2"/>
        <v>0.45725149172389612</v>
      </c>
      <c r="R15" s="95">
        <f t="shared" si="3"/>
        <v>0.49554850852257881</v>
      </c>
      <c r="S15" s="95">
        <f t="shared" si="4"/>
        <v>0.46801356574357145</v>
      </c>
      <c r="T15" s="95">
        <f t="shared" si="5"/>
        <v>0.5042643331479697</v>
      </c>
      <c r="U15" s="95">
        <f t="shared" si="7"/>
        <v>0.82420328727413639</v>
      </c>
      <c r="V15" s="95">
        <f t="shared" si="6"/>
        <v>0.54300510014347214</v>
      </c>
    </row>
    <row r="16" spans="1:22" x14ac:dyDescent="0.25">
      <c r="A16" s="33"/>
      <c r="B16" s="34" t="s">
        <v>19</v>
      </c>
      <c r="C16" s="77">
        <v>0.56199428721029099</v>
      </c>
      <c r="D16" s="77">
        <v>0.56151742101532387</v>
      </c>
      <c r="E16" s="77">
        <v>0.58766128721466027</v>
      </c>
      <c r="F16" s="77">
        <v>0.55777035220052318</v>
      </c>
      <c r="G16" s="77">
        <v>0.59102733415431807</v>
      </c>
      <c r="H16" s="77">
        <v>0.55882613169361894</v>
      </c>
      <c r="I16" s="77">
        <v>0.24064415453959484</v>
      </c>
      <c r="J16" s="77">
        <v>0.52553164486563408</v>
      </c>
      <c r="L16" s="94"/>
      <c r="N16" s="94"/>
      <c r="O16" s="95">
        <f t="shared" si="0"/>
        <v>0.43800571278970901</v>
      </c>
      <c r="P16" s="95">
        <f t="shared" si="1"/>
        <v>0.43848257898467613</v>
      </c>
      <c r="Q16" s="95">
        <f t="shared" si="2"/>
        <v>0.41233871278533973</v>
      </c>
      <c r="R16" s="95">
        <f t="shared" si="3"/>
        <v>0.44222964779947682</v>
      </c>
      <c r="S16" s="95">
        <f t="shared" si="4"/>
        <v>0.40897266584568193</v>
      </c>
      <c r="T16" s="95">
        <f t="shared" si="5"/>
        <v>0.44117386830638106</v>
      </c>
      <c r="U16" s="95">
        <f t="shared" si="7"/>
        <v>0.75935584546040513</v>
      </c>
      <c r="V16" s="95">
        <f t="shared" si="6"/>
        <v>0.47446835513436592</v>
      </c>
    </row>
    <row r="17" spans="1:22" x14ac:dyDescent="0.25">
      <c r="A17" s="33"/>
      <c r="B17" s="34" t="s">
        <v>20</v>
      </c>
      <c r="C17" s="77">
        <v>0.53112862889705259</v>
      </c>
      <c r="D17" s="77">
        <v>0.53227727085617138</v>
      </c>
      <c r="E17" s="77">
        <v>0.58918118872192726</v>
      </c>
      <c r="F17" s="77">
        <v>0.532477538122615</v>
      </c>
      <c r="G17" s="77">
        <v>0.572218494161994</v>
      </c>
      <c r="H17" s="77">
        <v>0.53795709910518819</v>
      </c>
      <c r="I17" s="77">
        <v>0.28100570720006313</v>
      </c>
      <c r="J17" s="77">
        <v>0.49583816502933714</v>
      </c>
      <c r="L17" s="94"/>
      <c r="N17" s="94"/>
      <c r="O17" s="95">
        <f t="shared" si="0"/>
        <v>0.46887137110294741</v>
      </c>
      <c r="P17" s="95">
        <f t="shared" si="1"/>
        <v>0.46772272914382862</v>
      </c>
      <c r="Q17" s="95">
        <f t="shared" si="2"/>
        <v>0.41081881127807274</v>
      </c>
      <c r="R17" s="95">
        <f t="shared" si="3"/>
        <v>0.467522461877385</v>
      </c>
      <c r="S17" s="95">
        <f t="shared" si="4"/>
        <v>0.427781505838006</v>
      </c>
      <c r="T17" s="95">
        <f t="shared" si="5"/>
        <v>0.46204290089481181</v>
      </c>
      <c r="U17" s="95">
        <f t="shared" si="7"/>
        <v>0.71899429279993687</v>
      </c>
      <c r="V17" s="95">
        <f t="shared" si="6"/>
        <v>0.50416183497066291</v>
      </c>
    </row>
    <row r="18" spans="1:22" x14ac:dyDescent="0.25">
      <c r="A18" s="33"/>
      <c r="B18" s="34" t="s">
        <v>21</v>
      </c>
      <c r="C18" s="77">
        <v>0.50699426851657592</v>
      </c>
      <c r="D18" s="77">
        <v>0.50723316503186522</v>
      </c>
      <c r="E18" s="77">
        <v>0.55450664259955096</v>
      </c>
      <c r="F18" s="77">
        <v>0.50748229875569328</v>
      </c>
      <c r="G18" s="77">
        <v>0.56134731871191834</v>
      </c>
      <c r="H18" s="77">
        <v>0.52066452235170557</v>
      </c>
      <c r="I18" s="77">
        <v>0.31041071538595388</v>
      </c>
      <c r="J18" s="77">
        <v>0.47985410634859021</v>
      </c>
      <c r="L18" s="94"/>
      <c r="N18" s="94"/>
      <c r="O18" s="95">
        <f t="shared" si="0"/>
        <v>0.49300573148342408</v>
      </c>
      <c r="P18" s="95">
        <f>1-D18</f>
        <v>0.49276683496813478</v>
      </c>
      <c r="Q18" s="95">
        <f t="shared" si="2"/>
        <v>0.44549335740044904</v>
      </c>
      <c r="R18" s="95">
        <f t="shared" si="3"/>
        <v>0.49251770124430672</v>
      </c>
      <c r="S18" s="95">
        <f t="shared" si="4"/>
        <v>0.43865268128808166</v>
      </c>
      <c r="T18" s="95">
        <f t="shared" si="5"/>
        <v>0.47933547764829443</v>
      </c>
      <c r="U18" s="95">
        <f t="shared" si="7"/>
        <v>0.68958928461404612</v>
      </c>
      <c r="V18" s="95">
        <f t="shared" si="6"/>
        <v>0.52014589365140984</v>
      </c>
    </row>
    <row r="19" spans="1:22" x14ac:dyDescent="0.25">
      <c r="A19" s="33"/>
      <c r="B19" s="34" t="s">
        <v>22</v>
      </c>
      <c r="C19" s="77">
        <v>0.48163997305625234</v>
      </c>
      <c r="D19" s="77">
        <v>0.4787744740557513</v>
      </c>
      <c r="E19" s="77">
        <v>0.56568520661373012</v>
      </c>
      <c r="F19" s="77">
        <v>0.53447324660233642</v>
      </c>
      <c r="G19" s="77">
        <v>0.55772412787599646</v>
      </c>
      <c r="H19" s="77">
        <v>0.51040782121475958</v>
      </c>
      <c r="I19" s="77">
        <v>0.33107532309091281</v>
      </c>
      <c r="J19" s="77">
        <v>0.47153206329702252</v>
      </c>
      <c r="L19" s="94"/>
      <c r="N19" s="94"/>
      <c r="O19" s="95">
        <f t="shared" si="0"/>
        <v>0.51836002694374761</v>
      </c>
      <c r="P19" s="95">
        <f t="shared" si="1"/>
        <v>0.52122552594424865</v>
      </c>
      <c r="Q19" s="95">
        <f t="shared" si="2"/>
        <v>0.43431479338626988</v>
      </c>
      <c r="R19" s="95">
        <f t="shared" si="3"/>
        <v>0.46552675339766358</v>
      </c>
      <c r="S19" s="95">
        <f t="shared" si="4"/>
        <v>0.44227587212400354</v>
      </c>
      <c r="T19" s="95">
        <f t="shared" si="5"/>
        <v>0.48959217878524042</v>
      </c>
      <c r="U19" s="95">
        <f t="shared" si="7"/>
        <v>0.66892467690908719</v>
      </c>
      <c r="V19" s="95">
        <f t="shared" si="6"/>
        <v>0.52846793670297743</v>
      </c>
    </row>
    <row r="20" spans="1:22" x14ac:dyDescent="0.25">
      <c r="A20" s="33"/>
      <c r="B20" s="34" t="s">
        <v>23</v>
      </c>
      <c r="C20" s="77">
        <v>0.48944339651445273</v>
      </c>
      <c r="D20" s="77">
        <v>0.4885956101940741</v>
      </c>
      <c r="E20" s="77">
        <v>0.53655067919898791</v>
      </c>
      <c r="F20" s="77">
        <v>0.52176248318923812</v>
      </c>
      <c r="G20" s="77">
        <v>0.5529746003489876</v>
      </c>
      <c r="H20" s="77">
        <v>0.51420796684920045</v>
      </c>
      <c r="I20" s="77">
        <v>0.35179067265458086</v>
      </c>
      <c r="J20" s="77">
        <v>0.47985315742075252</v>
      </c>
      <c r="L20" s="94"/>
      <c r="N20" s="94"/>
      <c r="O20" s="95">
        <f t="shared" si="0"/>
        <v>0.51055660348554732</v>
      </c>
      <c r="P20" s="95">
        <f t="shared" si="1"/>
        <v>0.51140438980592595</v>
      </c>
      <c r="Q20" s="95">
        <f t="shared" si="2"/>
        <v>0.46344932080101209</v>
      </c>
      <c r="R20" s="95">
        <f t="shared" si="3"/>
        <v>0.47823751681076188</v>
      </c>
      <c r="S20" s="95">
        <f t="shared" si="4"/>
        <v>0.4470253996510124</v>
      </c>
      <c r="T20" s="95">
        <f t="shared" si="5"/>
        <v>0.48579203315079955</v>
      </c>
      <c r="U20" s="95">
        <f t="shared" si="7"/>
        <v>0.64820932734541914</v>
      </c>
      <c r="V20" s="95">
        <f t="shared" si="6"/>
        <v>0.52014684257924748</v>
      </c>
    </row>
    <row r="21" spans="1:22" x14ac:dyDescent="0.25">
      <c r="A21" s="33"/>
      <c r="J21" s="96"/>
    </row>
    <row r="22" spans="1:22" x14ac:dyDescent="0.25">
      <c r="A22" s="33"/>
    </row>
    <row r="23" spans="1:22" x14ac:dyDescent="0.25">
      <c r="A23" s="32" t="s">
        <v>24</v>
      </c>
      <c r="B23" s="90" t="s">
        <v>140</v>
      </c>
    </row>
    <row r="24" spans="1:22" x14ac:dyDescent="0.25">
      <c r="A24" s="32"/>
      <c r="B24" s="90"/>
    </row>
    <row r="25" spans="1:22" x14ac:dyDescent="0.25">
      <c r="A25" s="33"/>
      <c r="D25" s="50" t="str">
        <f>D7</f>
        <v>RS TOU - BGS</v>
      </c>
      <c r="P25" s="28" t="s">
        <v>139</v>
      </c>
    </row>
    <row r="26" spans="1:22" x14ac:dyDescent="0.25">
      <c r="A26" s="33"/>
      <c r="D26" s="50"/>
      <c r="P26" s="12"/>
    </row>
    <row r="27" spans="1:22" x14ac:dyDescent="0.25">
      <c r="A27" s="33"/>
      <c r="B27" s="34" t="str">
        <f>B9</f>
        <v>January</v>
      </c>
      <c r="D27" s="77">
        <v>0.39030854329699344</v>
      </c>
      <c r="F27" s="77"/>
      <c r="P27" s="95">
        <f>1-D27</f>
        <v>0.60969145670300651</v>
      </c>
    </row>
    <row r="28" spans="1:22" x14ac:dyDescent="0.25">
      <c r="A28" s="33"/>
      <c r="B28" s="34" t="str">
        <f t="shared" ref="B28:B38" si="8">B10</f>
        <v>February</v>
      </c>
      <c r="D28" s="77">
        <v>0.39782407792826086</v>
      </c>
      <c r="F28" s="77"/>
      <c r="P28" s="95">
        <f t="shared" ref="P28:P38" si="9">1-D28</f>
        <v>0.60217592207173909</v>
      </c>
    </row>
    <row r="29" spans="1:22" x14ac:dyDescent="0.25">
      <c r="A29" s="33"/>
      <c r="B29" s="34" t="str">
        <f t="shared" si="8"/>
        <v>March</v>
      </c>
      <c r="D29" s="77">
        <v>0.40172657913240456</v>
      </c>
      <c r="F29" s="77"/>
      <c r="P29" s="95">
        <f t="shared" si="9"/>
        <v>0.5982734208675955</v>
      </c>
    </row>
    <row r="30" spans="1:22" x14ac:dyDescent="0.25">
      <c r="A30" s="33"/>
      <c r="B30" s="34" t="str">
        <f t="shared" si="8"/>
        <v>April</v>
      </c>
      <c r="D30" s="77">
        <v>0.37910213030031598</v>
      </c>
      <c r="F30" s="77"/>
      <c r="P30" s="95">
        <f t="shared" si="9"/>
        <v>0.62089786969968408</v>
      </c>
    </row>
    <row r="31" spans="1:22" x14ac:dyDescent="0.25">
      <c r="A31" s="33"/>
      <c r="B31" s="34" t="str">
        <f t="shared" si="8"/>
        <v>May</v>
      </c>
      <c r="D31" s="77">
        <v>0.40445024718228123</v>
      </c>
      <c r="F31" s="77"/>
      <c r="P31" s="95">
        <f t="shared" si="9"/>
        <v>0.59554975281771871</v>
      </c>
    </row>
    <row r="32" spans="1:22" x14ac:dyDescent="0.25">
      <c r="A32" s="33"/>
      <c r="B32" s="34" t="str">
        <f t="shared" si="8"/>
        <v>June</v>
      </c>
      <c r="D32" s="77">
        <v>0.44606864744001506</v>
      </c>
      <c r="F32" s="77"/>
      <c r="P32" s="95">
        <f t="shared" si="9"/>
        <v>0.55393135255998494</v>
      </c>
    </row>
    <row r="33" spans="1:25" x14ac:dyDescent="0.25">
      <c r="A33" s="33"/>
      <c r="B33" s="34" t="str">
        <f t="shared" si="8"/>
        <v>July</v>
      </c>
      <c r="D33" s="77">
        <v>0.42428727012517053</v>
      </c>
      <c r="F33" s="77"/>
      <c r="P33" s="95">
        <f t="shared" si="9"/>
        <v>0.57571272987482947</v>
      </c>
    </row>
    <row r="34" spans="1:25" x14ac:dyDescent="0.25">
      <c r="A34" s="33"/>
      <c r="B34" s="34" t="str">
        <f t="shared" si="8"/>
        <v>August</v>
      </c>
      <c r="D34" s="77">
        <v>0.44137463593936505</v>
      </c>
      <c r="F34" s="77"/>
      <c r="P34" s="95">
        <f t="shared" si="9"/>
        <v>0.5586253640606349</v>
      </c>
    </row>
    <row r="35" spans="1:25" x14ac:dyDescent="0.25">
      <c r="A35" s="33"/>
      <c r="B35" s="34" t="str">
        <f t="shared" si="8"/>
        <v>September</v>
      </c>
      <c r="D35" s="77">
        <v>0.42473372569228951</v>
      </c>
      <c r="F35" s="77"/>
      <c r="P35" s="95">
        <f t="shared" si="9"/>
        <v>0.57526627430771049</v>
      </c>
    </row>
    <row r="36" spans="1:25" x14ac:dyDescent="0.25">
      <c r="A36" s="33"/>
      <c r="B36" s="34" t="str">
        <f t="shared" si="8"/>
        <v>October</v>
      </c>
      <c r="D36" s="77">
        <v>0.38122078163788475</v>
      </c>
      <c r="F36" s="77"/>
      <c r="P36" s="95">
        <f t="shared" si="9"/>
        <v>0.61877921836211525</v>
      </c>
    </row>
    <row r="37" spans="1:25" x14ac:dyDescent="0.25">
      <c r="A37" s="33"/>
      <c r="B37" s="34" t="str">
        <f t="shared" si="8"/>
        <v>November</v>
      </c>
      <c r="D37" s="77">
        <v>0.40513556821704599</v>
      </c>
      <c r="F37" s="77"/>
      <c r="P37" s="95">
        <f t="shared" si="9"/>
        <v>0.59486443178295401</v>
      </c>
    </row>
    <row r="38" spans="1:25" x14ac:dyDescent="0.25">
      <c r="A38" s="33"/>
      <c r="B38" s="34" t="str">
        <f t="shared" si="8"/>
        <v>December</v>
      </c>
      <c r="D38" s="77">
        <v>0.38340047606444871</v>
      </c>
      <c r="F38" s="77"/>
      <c r="P38" s="95">
        <f t="shared" si="9"/>
        <v>0.61659952393555129</v>
      </c>
    </row>
    <row r="39" spans="1:25" x14ac:dyDescent="0.25">
      <c r="A39" s="33"/>
    </row>
    <row r="40" spans="1:25" x14ac:dyDescent="0.25">
      <c r="A40" s="33"/>
    </row>
    <row r="41" spans="1:25" x14ac:dyDescent="0.25">
      <c r="A41" s="32" t="s">
        <v>32</v>
      </c>
      <c r="B41" s="97" t="s">
        <v>25</v>
      </c>
      <c r="O41" s="3" t="s">
        <v>26</v>
      </c>
      <c r="P41" s="3"/>
    </row>
    <row r="42" spans="1:25" x14ac:dyDescent="0.25">
      <c r="A42" s="33"/>
      <c r="B42" s="117" t="s">
        <v>27</v>
      </c>
    </row>
    <row r="43" spans="1:25" x14ac:dyDescent="0.25">
      <c r="A43" s="33"/>
      <c r="B43" s="4" t="s">
        <v>28</v>
      </c>
      <c r="C43" s="50" t="s">
        <v>5</v>
      </c>
      <c r="D43" s="50" t="str">
        <f>D7</f>
        <v>RS TOU - BGS</v>
      </c>
      <c r="E43" s="50" t="s">
        <v>6</v>
      </c>
      <c r="F43" s="50" t="s">
        <v>7</v>
      </c>
      <c r="G43" s="50" t="s">
        <v>8</v>
      </c>
      <c r="H43" s="50" t="s">
        <v>9</v>
      </c>
      <c r="I43" s="50" t="s">
        <v>10</v>
      </c>
      <c r="J43" s="50" t="s">
        <v>11</v>
      </c>
      <c r="K43" s="50" t="s">
        <v>29</v>
      </c>
      <c r="L43" s="28"/>
      <c r="O43" s="28" t="s">
        <v>5</v>
      </c>
      <c r="P43" s="28" t="s">
        <v>139</v>
      </c>
      <c r="Q43" s="28" t="s">
        <v>6</v>
      </c>
      <c r="R43" s="28" t="s">
        <v>7</v>
      </c>
      <c r="S43" s="28" t="s">
        <v>8</v>
      </c>
      <c r="T43" s="28" t="s">
        <v>9</v>
      </c>
      <c r="U43" s="28" t="s">
        <v>10</v>
      </c>
      <c r="V43" s="28" t="s">
        <v>11</v>
      </c>
      <c r="X43" s="28"/>
      <c r="Y43" s="28"/>
    </row>
    <row r="44" spans="1:25" x14ac:dyDescent="0.25">
      <c r="A44" s="33"/>
    </row>
    <row r="45" spans="1:25" x14ac:dyDescent="0.25">
      <c r="A45" s="33"/>
      <c r="B45" s="34">
        <v>43466</v>
      </c>
      <c r="C45" s="45">
        <v>352038.02930751391</v>
      </c>
      <c r="D45" s="45">
        <v>302.12184340409345</v>
      </c>
      <c r="E45" s="45">
        <v>58272.496945188861</v>
      </c>
      <c r="F45" s="45">
        <v>851.33810575089194</v>
      </c>
      <c r="G45" s="45">
        <v>68889.084933498933</v>
      </c>
      <c r="H45" s="45">
        <v>3639.63040295684</v>
      </c>
      <c r="I45" s="45">
        <v>4385.0243652970476</v>
      </c>
      <c r="J45" s="45">
        <v>639.82589127508095</v>
      </c>
      <c r="K45" s="45">
        <f>SUM(C45:J45)</f>
        <v>489017.55179488566</v>
      </c>
      <c r="L45" s="45"/>
      <c r="N45" s="27" t="s">
        <v>30</v>
      </c>
      <c r="O45" s="38">
        <f>SUM(C45:C49,C54:C56)</f>
        <v>2199874.4379953439</v>
      </c>
      <c r="P45" s="38">
        <f>SUM(D45:D49,D54:D56)</f>
        <v>1816.0415592184936</v>
      </c>
      <c r="Q45" s="38">
        <f t="shared" ref="Q45:S45" si="10">SUM(E45:E49,E54:E56)</f>
        <v>447317.11214847828</v>
      </c>
      <c r="R45" s="38">
        <f t="shared" si="10"/>
        <v>6252.0579337530062</v>
      </c>
      <c r="S45" s="38">
        <f t="shared" si="10"/>
        <v>524434.06949866959</v>
      </c>
      <c r="T45" s="38">
        <f>SUM(H45:H49,H54:H56)</f>
        <v>30770.905417965609</v>
      </c>
      <c r="U45" s="38">
        <f>SUM(I45:I49,I54:I56)</f>
        <v>31492.971388984985</v>
      </c>
      <c r="V45" s="38">
        <f>SUM(J45:J49,J54:J56)</f>
        <v>4922.6248105046834</v>
      </c>
      <c r="W45" s="38">
        <f>SUM(O45:V45)</f>
        <v>3246880.2207529186</v>
      </c>
      <c r="X45" s="118"/>
      <c r="Y45" s="118"/>
    </row>
    <row r="46" spans="1:25" x14ac:dyDescent="0.25">
      <c r="A46" s="33"/>
      <c r="B46" s="34">
        <v>43497</v>
      </c>
      <c r="C46" s="45">
        <v>314068.45525603538</v>
      </c>
      <c r="D46" s="45">
        <v>276.62774061416087</v>
      </c>
      <c r="E46" s="45">
        <v>56259.133926673574</v>
      </c>
      <c r="F46" s="45">
        <v>906.99090582233612</v>
      </c>
      <c r="G46" s="45">
        <v>62973.811962133172</v>
      </c>
      <c r="H46" s="45">
        <v>4116.831653155672</v>
      </c>
      <c r="I46" s="45">
        <v>3954.1032950372351</v>
      </c>
      <c r="J46" s="45">
        <v>618.12009894427524</v>
      </c>
      <c r="K46" s="45">
        <f t="shared" ref="K46:K56" si="11">SUM(C46:J46)</f>
        <v>443174.07483841578</v>
      </c>
      <c r="L46" s="45"/>
      <c r="N46" s="5" t="s">
        <v>137</v>
      </c>
      <c r="P46" s="38">
        <f>SUMPRODUCT($D$45:$D$49,$D$9:$D$13)+SUMPRODUCT($D$54:$D$56,$D$18:$D$20)</f>
        <v>903.87657246225399</v>
      </c>
      <c r="W46" s="38"/>
      <c r="X46" s="118"/>
      <c r="Y46" s="118"/>
    </row>
    <row r="47" spans="1:25" x14ac:dyDescent="0.25">
      <c r="A47" s="33"/>
      <c r="B47" s="34">
        <v>43525</v>
      </c>
      <c r="C47" s="45">
        <v>287829.15549287212</v>
      </c>
      <c r="D47" s="45">
        <v>245.87284988204274</v>
      </c>
      <c r="E47" s="45">
        <v>55347.704461347588</v>
      </c>
      <c r="F47" s="45">
        <v>808.22338551027963</v>
      </c>
      <c r="G47" s="45">
        <v>68595.741207228915</v>
      </c>
      <c r="H47" s="45">
        <v>4269.4948971199901</v>
      </c>
      <c r="I47" s="45">
        <v>3806.6588784145642</v>
      </c>
      <c r="J47" s="45">
        <v>606.06896135213879</v>
      </c>
      <c r="K47" s="45">
        <f t="shared" si="11"/>
        <v>421508.9201337276</v>
      </c>
      <c r="L47" s="45"/>
      <c r="N47" s="5" t="s">
        <v>138</v>
      </c>
      <c r="P47" s="38">
        <f>SUMPRODUCT($D$45:$D$49,$P$9:$P$13)+SUMPRODUCT($D$54:$D$56,$P$18:$P$20)</f>
        <v>912.16498675623939</v>
      </c>
      <c r="X47" s="118"/>
      <c r="Y47" s="118"/>
    </row>
    <row r="48" spans="1:25" x14ac:dyDescent="0.25">
      <c r="A48" s="33"/>
      <c r="B48" s="34">
        <v>43556</v>
      </c>
      <c r="C48" s="45">
        <v>242992.90774553391</v>
      </c>
      <c r="D48" s="45">
        <v>203.77017835982878</v>
      </c>
      <c r="E48" s="45">
        <v>54135.718773776593</v>
      </c>
      <c r="F48" s="45">
        <v>816.99788844895534</v>
      </c>
      <c r="G48" s="45">
        <v>62544.745893540312</v>
      </c>
      <c r="H48" s="45">
        <v>3916.1001291155403</v>
      </c>
      <c r="I48" s="45">
        <v>3416.0116531333711</v>
      </c>
      <c r="J48" s="45">
        <v>593.42983326219769</v>
      </c>
      <c r="K48" s="45">
        <f t="shared" si="11"/>
        <v>368619.68209517066</v>
      </c>
      <c r="L48" s="45"/>
      <c r="N48" s="27" t="s">
        <v>31</v>
      </c>
      <c r="O48" s="38">
        <f>+SUM(C50:C53)</f>
        <v>1588918.6331005762</v>
      </c>
      <c r="P48" s="38">
        <f>+SUM(D50:D53)</f>
        <v>1142.8607857196876</v>
      </c>
      <c r="Q48" s="38">
        <f t="shared" ref="Q48:S48" si="12">+SUM(E50:E53)</f>
        <v>287575.70126713405</v>
      </c>
      <c r="R48" s="38">
        <f t="shared" si="12"/>
        <v>2954.1486426928523</v>
      </c>
      <c r="S48" s="38">
        <f t="shared" si="12"/>
        <v>334883.18390007026</v>
      </c>
      <c r="T48" s="38">
        <f>+SUM(H50:H53)</f>
        <v>19206.214130115426</v>
      </c>
      <c r="U48" s="38">
        <f>+SUM(I50:I53)</f>
        <v>15241.586439608931</v>
      </c>
      <c r="V48" s="38">
        <f>+SUM(J50:J53)</f>
        <v>3181.6551491558407</v>
      </c>
      <c r="W48" s="38">
        <f>SUM(O48:V48)</f>
        <v>2253103.9834150732</v>
      </c>
      <c r="X48" s="118"/>
      <c r="Y48" s="118"/>
    </row>
    <row r="49" spans="1:25" x14ac:dyDescent="0.25">
      <c r="A49" s="33"/>
      <c r="B49" s="34">
        <v>43586</v>
      </c>
      <c r="C49" s="45">
        <v>216903.81470639521</v>
      </c>
      <c r="D49" s="45">
        <v>171.82150331780679</v>
      </c>
      <c r="E49" s="45">
        <v>53878.658736357887</v>
      </c>
      <c r="F49" s="45">
        <v>960.21082469470355</v>
      </c>
      <c r="G49" s="45">
        <v>66286.154479566903</v>
      </c>
      <c r="H49" s="45">
        <v>2916.0579302813844</v>
      </c>
      <c r="I49" s="45">
        <v>3231.3744051117783</v>
      </c>
      <c r="J49" s="45">
        <v>590.33168051906227</v>
      </c>
      <c r="K49" s="45">
        <f t="shared" si="11"/>
        <v>344938.42426624469</v>
      </c>
      <c r="L49" s="45"/>
      <c r="N49" s="5" t="s">
        <v>137</v>
      </c>
      <c r="P49" s="38">
        <f>SUMPRODUCT($D$50:$D$53,$D$14:$D$17)</f>
        <v>621.60774595774615</v>
      </c>
      <c r="X49" s="118"/>
      <c r="Y49" s="118"/>
    </row>
    <row r="50" spans="1:25" x14ac:dyDescent="0.25">
      <c r="A50" s="119"/>
      <c r="B50" s="34">
        <v>43252</v>
      </c>
      <c r="C50" s="45">
        <v>287865.56792514201</v>
      </c>
      <c r="D50" s="45">
        <v>210.14541444221999</v>
      </c>
      <c r="E50" s="45">
        <v>64104.816294900316</v>
      </c>
      <c r="F50" s="45">
        <v>699.53766067583706</v>
      </c>
      <c r="G50" s="45">
        <v>74962.305162148768</v>
      </c>
      <c r="H50" s="45">
        <v>4545.8631670260756</v>
      </c>
      <c r="I50" s="45">
        <v>3345.0666736433277</v>
      </c>
      <c r="J50" s="45">
        <v>704.94535257072562</v>
      </c>
      <c r="K50" s="45">
        <f t="shared" si="11"/>
        <v>436438.24765054928</v>
      </c>
      <c r="L50" s="45"/>
      <c r="N50" s="5" t="s">
        <v>138</v>
      </c>
      <c r="P50" s="38">
        <f>SUMPRODUCT($D$50:$D$53,$P$14:$P$17)</f>
        <v>521.25303976194141</v>
      </c>
      <c r="Q50" s="38"/>
      <c r="R50" s="38"/>
      <c r="S50" s="38"/>
      <c r="T50" s="38"/>
      <c r="U50" s="38"/>
      <c r="V50" s="38"/>
      <c r="W50" s="38">
        <f>W45+W48</f>
        <v>5499984.2041679919</v>
      </c>
      <c r="X50" s="118"/>
      <c r="Y50" s="118"/>
    </row>
    <row r="51" spans="1:25" x14ac:dyDescent="0.25">
      <c r="A51" s="33"/>
      <c r="B51" s="34">
        <v>43282</v>
      </c>
      <c r="C51" s="45">
        <v>419684.16764331661</v>
      </c>
      <c r="D51" s="45">
        <v>301.40468044789412</v>
      </c>
      <c r="E51" s="45">
        <v>74815.838590279542</v>
      </c>
      <c r="F51" s="45">
        <v>756.75178447312987</v>
      </c>
      <c r="G51" s="45">
        <v>87130.064640908531</v>
      </c>
      <c r="H51" s="45">
        <v>5559.7147616448274</v>
      </c>
      <c r="I51" s="45">
        <v>3727.0752014683267</v>
      </c>
      <c r="J51" s="45">
        <v>826.70398565494349</v>
      </c>
      <c r="K51" s="45">
        <f t="shared" si="11"/>
        <v>592801.72128819383</v>
      </c>
      <c r="L51" s="45"/>
      <c r="O51" s="38"/>
      <c r="P51" s="38"/>
      <c r="Q51" s="38"/>
      <c r="R51" s="38"/>
      <c r="S51" s="38"/>
      <c r="T51" s="38"/>
      <c r="U51" s="38"/>
      <c r="V51" s="38"/>
      <c r="X51" s="118"/>
      <c r="Y51" s="118"/>
    </row>
    <row r="52" spans="1:25" x14ac:dyDescent="0.25">
      <c r="A52" s="33"/>
      <c r="B52" s="34">
        <v>43313</v>
      </c>
      <c r="C52" s="45">
        <v>475863.65858810267</v>
      </c>
      <c r="D52" s="45">
        <v>339.89129468701185</v>
      </c>
      <c r="E52" s="45">
        <v>76526.387251932858</v>
      </c>
      <c r="F52" s="45">
        <v>761.2365035722305</v>
      </c>
      <c r="G52" s="45">
        <v>89911.703662027474</v>
      </c>
      <c r="H52" s="45">
        <v>4325.9451784015364</v>
      </c>
      <c r="I52" s="45">
        <v>4026.5705296638898</v>
      </c>
      <c r="J52" s="45">
        <v>847.53519754978106</v>
      </c>
      <c r="K52" s="45">
        <f t="shared" si="11"/>
        <v>652602.92820593738</v>
      </c>
      <c r="L52" s="45"/>
      <c r="M52" s="38"/>
      <c r="N52" s="7" t="s">
        <v>205</v>
      </c>
      <c r="O52" s="120">
        <f>+O48*F167</f>
        <v>926032.52741687093</v>
      </c>
      <c r="P52" s="38"/>
      <c r="Q52" s="38"/>
      <c r="R52" s="38"/>
      <c r="S52" s="38"/>
      <c r="T52" s="38"/>
      <c r="X52" s="118"/>
      <c r="Y52" s="118"/>
    </row>
    <row r="53" spans="1:25" x14ac:dyDescent="0.25">
      <c r="A53" s="33"/>
      <c r="B53" s="34">
        <v>43344</v>
      </c>
      <c r="C53" s="45">
        <v>405505.23894401506</v>
      </c>
      <c r="D53" s="45">
        <v>291.41939614256165</v>
      </c>
      <c r="E53" s="45">
        <v>72128.659130021319</v>
      </c>
      <c r="F53" s="45">
        <v>736.62269397165471</v>
      </c>
      <c r="G53" s="45">
        <v>82879.110434985458</v>
      </c>
      <c r="H53" s="45">
        <v>4774.6910230429876</v>
      </c>
      <c r="I53" s="45">
        <v>4142.8740348333868</v>
      </c>
      <c r="J53" s="45">
        <v>802.47061338039066</v>
      </c>
      <c r="K53" s="45">
        <f t="shared" si="11"/>
        <v>571261.08627039287</v>
      </c>
      <c r="L53" s="45"/>
      <c r="M53" s="38"/>
      <c r="N53" s="7" t="s">
        <v>206</v>
      </c>
      <c r="O53" s="38">
        <f>+O48-O52</f>
        <v>662886.1056837053</v>
      </c>
      <c r="P53" s="38"/>
      <c r="Q53" s="38"/>
      <c r="R53" s="38"/>
      <c r="S53" s="38"/>
      <c r="T53" s="38"/>
      <c r="X53" s="118"/>
      <c r="Y53" s="118"/>
    </row>
    <row r="54" spans="1:25" x14ac:dyDescent="0.25">
      <c r="A54" s="33"/>
      <c r="B54" s="34">
        <v>43374</v>
      </c>
      <c r="C54" s="45">
        <v>260081.2923518832</v>
      </c>
      <c r="D54" s="45">
        <v>188.42530836728909</v>
      </c>
      <c r="E54" s="45">
        <v>60402.234003389021</v>
      </c>
      <c r="F54" s="45">
        <v>660.43124664915194</v>
      </c>
      <c r="G54" s="45">
        <v>69437.309165232844</v>
      </c>
      <c r="H54" s="45">
        <v>3949.4211197339819</v>
      </c>
      <c r="I54" s="45">
        <v>4110.3730155945486</v>
      </c>
      <c r="J54" s="45">
        <v>672.06704240098156</v>
      </c>
      <c r="K54" s="45">
        <f t="shared" si="11"/>
        <v>399501.55325325101</v>
      </c>
      <c r="L54" s="45"/>
      <c r="O54" s="38">
        <f>SUM(O52:O53)</f>
        <v>1588918.6331005762</v>
      </c>
      <c r="X54" s="118"/>
      <c r="Y54" s="118"/>
    </row>
    <row r="55" spans="1:25" x14ac:dyDescent="0.25">
      <c r="A55" s="33"/>
      <c r="B55" s="34">
        <v>43405</v>
      </c>
      <c r="C55" s="45">
        <v>238931.04340061697</v>
      </c>
      <c r="D55" s="45">
        <v>191.02011171202884</v>
      </c>
      <c r="E55" s="45">
        <v>53634.121015001307</v>
      </c>
      <c r="F55" s="45">
        <v>630.41908016269008</v>
      </c>
      <c r="G55" s="45">
        <v>60245.214918921862</v>
      </c>
      <c r="H55" s="45">
        <v>3799.6216521884871</v>
      </c>
      <c r="I55" s="45">
        <v>4274.8137999694609</v>
      </c>
      <c r="J55" s="45">
        <v>593.78790455510102</v>
      </c>
      <c r="K55" s="45">
        <f t="shared" si="11"/>
        <v>362300.04188312788</v>
      </c>
      <c r="L55" s="45"/>
      <c r="X55" s="118"/>
      <c r="Y55" s="118"/>
    </row>
    <row r="56" spans="1:25" x14ac:dyDescent="0.25">
      <c r="A56" s="33"/>
      <c r="B56" s="34">
        <v>43435</v>
      </c>
      <c r="C56" s="45">
        <v>287029.73973449302</v>
      </c>
      <c r="D56" s="45">
        <v>236.38202356124299</v>
      </c>
      <c r="E56" s="45">
        <v>55387.044286743432</v>
      </c>
      <c r="F56" s="45">
        <v>617.44649671399759</v>
      </c>
      <c r="G56" s="45">
        <v>65462.006938546583</v>
      </c>
      <c r="H56" s="45">
        <v>4163.74763341371</v>
      </c>
      <c r="I56" s="45">
        <v>4314.6119764269779</v>
      </c>
      <c r="J56" s="45">
        <v>608.99339819584634</v>
      </c>
      <c r="K56" s="45">
        <f t="shared" si="11"/>
        <v>417819.97248809482</v>
      </c>
      <c r="L56" s="45"/>
      <c r="P56" s="5" t="s">
        <v>249</v>
      </c>
      <c r="Q56" s="66">
        <f>SUMPRODUCT(O45:V45,C80:J80)</f>
        <v>3492809.4970139693</v>
      </c>
      <c r="X56" s="118"/>
      <c r="Y56" s="118"/>
    </row>
    <row r="57" spans="1:25" x14ac:dyDescent="0.25">
      <c r="A57" s="33"/>
      <c r="B57" s="121" t="s">
        <v>29</v>
      </c>
      <c r="C57" s="38">
        <f>SUM(C45:C56)</f>
        <v>3788793.0710959202</v>
      </c>
      <c r="D57" s="38">
        <f t="shared" ref="D57:I57" si="13">SUM(D45:D56)</f>
        <v>2958.9023449381812</v>
      </c>
      <c r="E57" s="38">
        <f t="shared" si="13"/>
        <v>734892.81341561233</v>
      </c>
      <c r="F57" s="38">
        <f t="shared" si="13"/>
        <v>9206.2065764458584</v>
      </c>
      <c r="G57" s="38">
        <f t="shared" si="13"/>
        <v>859317.25339873973</v>
      </c>
      <c r="H57" s="38">
        <f t="shared" si="13"/>
        <v>49977.119548081027</v>
      </c>
      <c r="I57" s="38">
        <f t="shared" si="13"/>
        <v>46734.557828593919</v>
      </c>
      <c r="J57" s="38">
        <f t="shared" ref="J57" si="14">SUM(J45:J56)</f>
        <v>8104.2799596605246</v>
      </c>
      <c r="K57" s="38">
        <f>SUM(K45:K56)</f>
        <v>5499984.2041679919</v>
      </c>
      <c r="L57" s="38"/>
      <c r="Q57" s="168">
        <f>SUMPRODUCT(O48:V48,C80:J80)</f>
        <v>2423860.8430611207</v>
      </c>
    </row>
    <row r="58" spans="1:25" x14ac:dyDescent="0.25">
      <c r="A58" s="33"/>
      <c r="B58" s="34"/>
      <c r="C58" s="38"/>
      <c r="D58" s="38"/>
      <c r="E58" s="38"/>
      <c r="F58" s="38"/>
      <c r="G58" s="38"/>
      <c r="H58" s="38"/>
      <c r="I58" s="38"/>
      <c r="J58" s="38"/>
      <c r="K58" s="45"/>
      <c r="L58" s="38"/>
      <c r="Q58" s="131">
        <f>SUM(Q56:Q57)</f>
        <v>5916670.3400750905</v>
      </c>
    </row>
    <row r="59" spans="1:25" x14ac:dyDescent="0.25">
      <c r="A59" s="33"/>
      <c r="D59" s="38"/>
      <c r="E59" s="38"/>
    </row>
    <row r="60" spans="1:25" x14ac:dyDescent="0.25">
      <c r="A60" s="32" t="s">
        <v>34</v>
      </c>
      <c r="B60" s="3" t="s">
        <v>33</v>
      </c>
      <c r="G60" s="137" t="s">
        <v>38</v>
      </c>
      <c r="H60" s="3" t="s">
        <v>133</v>
      </c>
      <c r="J60" s="31" t="s">
        <v>141</v>
      </c>
    </row>
    <row r="61" spans="1:25" s="82" customFormat="1" x14ac:dyDescent="0.25">
      <c r="A61" s="33"/>
      <c r="B61" s="82" t="s">
        <v>142</v>
      </c>
      <c r="D61" s="28" t="s">
        <v>127</v>
      </c>
      <c r="G61" s="12"/>
    </row>
    <row r="62" spans="1:25" x14ac:dyDescent="0.25">
      <c r="A62" s="33"/>
      <c r="C62" s="50" t="s">
        <v>36</v>
      </c>
      <c r="D62" s="28" t="s">
        <v>128</v>
      </c>
      <c r="E62" s="50" t="s">
        <v>37</v>
      </c>
      <c r="G62" s="28"/>
      <c r="H62" s="50" t="s">
        <v>36</v>
      </c>
      <c r="I62" s="50" t="s">
        <v>37</v>
      </c>
    </row>
    <row r="63" spans="1:25" x14ac:dyDescent="0.25">
      <c r="A63" s="33"/>
      <c r="B63" s="34">
        <f t="shared" ref="B63:B74" si="15">B45</f>
        <v>43466</v>
      </c>
      <c r="C63" s="80">
        <v>47.85</v>
      </c>
      <c r="D63" s="172">
        <v>0.74945337279191615</v>
      </c>
      <c r="E63" s="80">
        <f>ROUND(C63*D63,2)</f>
        <v>35.86</v>
      </c>
      <c r="H63" s="1">
        <v>0.94807464779690342</v>
      </c>
      <c r="I63" s="1">
        <v>0.94176385674158591</v>
      </c>
      <c r="N63" s="2"/>
      <c r="O63" s="2"/>
      <c r="P63" s="2"/>
    </row>
    <row r="64" spans="1:25" x14ac:dyDescent="0.25">
      <c r="A64" s="33"/>
      <c r="B64" s="34">
        <f t="shared" si="15"/>
        <v>43497</v>
      </c>
      <c r="C64" s="80">
        <v>45.55</v>
      </c>
      <c r="D64" s="29">
        <f>+$D$63</f>
        <v>0.74945337279191615</v>
      </c>
      <c r="E64" s="80">
        <f>ROUND(C64*D64,2)</f>
        <v>34.14</v>
      </c>
      <c r="H64" s="141">
        <f>H$63</f>
        <v>0.94807464779690342</v>
      </c>
      <c r="I64" s="141">
        <f>I$63</f>
        <v>0.94176385674158591</v>
      </c>
      <c r="N64" s="2"/>
      <c r="O64" s="2"/>
      <c r="P64" s="2"/>
    </row>
    <row r="65" spans="1:16" x14ac:dyDescent="0.25">
      <c r="A65" s="33"/>
      <c r="B65" s="34">
        <f t="shared" si="15"/>
        <v>43525</v>
      </c>
      <c r="C65" s="80">
        <v>36.31</v>
      </c>
      <c r="D65" s="29">
        <f>+$D$63</f>
        <v>0.74945337279191615</v>
      </c>
      <c r="E65" s="80">
        <f t="shared" ref="E65:E74" si="16">ROUND(C65*D65,2)</f>
        <v>27.21</v>
      </c>
      <c r="H65" s="141">
        <f t="shared" ref="H65:I67" si="17">H$63</f>
        <v>0.94807464779690342</v>
      </c>
      <c r="I65" s="141">
        <f t="shared" si="17"/>
        <v>0.94176385674158591</v>
      </c>
      <c r="N65" s="2"/>
      <c r="O65" s="2"/>
      <c r="P65" s="2"/>
    </row>
    <row r="66" spans="1:16" x14ac:dyDescent="0.25">
      <c r="A66" s="33"/>
      <c r="B66" s="34">
        <f t="shared" si="15"/>
        <v>43556</v>
      </c>
      <c r="C66" s="80">
        <v>31.37</v>
      </c>
      <c r="D66" s="29">
        <f>+$D$63</f>
        <v>0.74945337279191615</v>
      </c>
      <c r="E66" s="80">
        <f t="shared" si="16"/>
        <v>23.51</v>
      </c>
      <c r="H66" s="141">
        <f t="shared" si="17"/>
        <v>0.94807464779690342</v>
      </c>
      <c r="I66" s="141">
        <f t="shared" si="17"/>
        <v>0.94176385674158591</v>
      </c>
      <c r="N66" s="2"/>
      <c r="O66" s="2"/>
      <c r="P66" s="2"/>
    </row>
    <row r="67" spans="1:16" x14ac:dyDescent="0.25">
      <c r="A67" s="33"/>
      <c r="B67" s="34">
        <f t="shared" si="15"/>
        <v>43586</v>
      </c>
      <c r="C67" s="80">
        <v>30.92</v>
      </c>
      <c r="D67" s="29">
        <f>+$D$63</f>
        <v>0.74945337279191615</v>
      </c>
      <c r="E67" s="80">
        <f t="shared" si="16"/>
        <v>23.17</v>
      </c>
      <c r="H67" s="141">
        <f t="shared" si="17"/>
        <v>0.94807464779690342</v>
      </c>
      <c r="I67" s="141">
        <f t="shared" si="17"/>
        <v>0.94176385674158591</v>
      </c>
      <c r="N67" s="2"/>
      <c r="O67" s="2"/>
      <c r="P67" s="2"/>
    </row>
    <row r="68" spans="1:16" x14ac:dyDescent="0.25">
      <c r="A68" s="33"/>
      <c r="B68" s="34">
        <f t="shared" si="15"/>
        <v>43252</v>
      </c>
      <c r="C68" s="80">
        <v>33.92</v>
      </c>
      <c r="D68" s="173">
        <v>0.64759218661486828</v>
      </c>
      <c r="E68" s="80">
        <f t="shared" si="16"/>
        <v>21.97</v>
      </c>
      <c r="H68" s="1">
        <v>0.94711642277720087</v>
      </c>
      <c r="I68" s="1">
        <v>0.87723199116499306</v>
      </c>
      <c r="N68" s="2"/>
      <c r="O68" s="2"/>
      <c r="P68" s="2"/>
    </row>
    <row r="69" spans="1:16" x14ac:dyDescent="0.25">
      <c r="A69" s="33"/>
      <c r="B69" s="34">
        <f t="shared" si="15"/>
        <v>43282</v>
      </c>
      <c r="C69" s="80">
        <v>39.03</v>
      </c>
      <c r="D69" s="174">
        <f>+$D$68</f>
        <v>0.64759218661486828</v>
      </c>
      <c r="E69" s="80">
        <f t="shared" si="16"/>
        <v>25.28</v>
      </c>
      <c r="H69" s="141">
        <f t="shared" ref="H69:I71" si="18">H$68</f>
        <v>0.94711642277720087</v>
      </c>
      <c r="I69" s="141">
        <f t="shared" si="18"/>
        <v>0.87723199116499306</v>
      </c>
      <c r="N69" s="2"/>
      <c r="O69" s="2"/>
      <c r="P69" s="2"/>
    </row>
    <row r="70" spans="1:16" x14ac:dyDescent="0.25">
      <c r="A70" s="33"/>
      <c r="B70" s="34">
        <f t="shared" si="15"/>
        <v>43313</v>
      </c>
      <c r="C70" s="80">
        <v>36.24</v>
      </c>
      <c r="D70" s="174">
        <f>+$D$68</f>
        <v>0.64759218661486828</v>
      </c>
      <c r="E70" s="80">
        <f t="shared" si="16"/>
        <v>23.47</v>
      </c>
      <c r="H70" s="141">
        <f t="shared" si="18"/>
        <v>0.94711642277720087</v>
      </c>
      <c r="I70" s="141">
        <f t="shared" si="18"/>
        <v>0.87723199116499306</v>
      </c>
      <c r="N70" s="2"/>
      <c r="O70" s="2"/>
      <c r="P70" s="2"/>
    </row>
    <row r="71" spans="1:16" x14ac:dyDescent="0.25">
      <c r="A71" s="33"/>
      <c r="B71" s="34">
        <f t="shared" si="15"/>
        <v>43344</v>
      </c>
      <c r="C71" s="80">
        <v>33.479999999999997</v>
      </c>
      <c r="D71" s="175">
        <f>+$D$68</f>
        <v>0.64759218661486828</v>
      </c>
      <c r="E71" s="80">
        <f t="shared" si="16"/>
        <v>21.68</v>
      </c>
      <c r="H71" s="141">
        <f t="shared" si="18"/>
        <v>0.94711642277720087</v>
      </c>
      <c r="I71" s="141">
        <f t="shared" si="18"/>
        <v>0.87723199116499306</v>
      </c>
      <c r="N71" s="2"/>
      <c r="O71" s="2"/>
      <c r="P71" s="2"/>
    </row>
    <row r="72" spans="1:16" x14ac:dyDescent="0.25">
      <c r="A72" s="33"/>
      <c r="B72" s="34">
        <f t="shared" si="15"/>
        <v>43374</v>
      </c>
      <c r="C72" s="80">
        <v>32</v>
      </c>
      <c r="D72" s="29">
        <f>+$D$63</f>
        <v>0.74945337279191615</v>
      </c>
      <c r="E72" s="80">
        <f t="shared" si="16"/>
        <v>23.98</v>
      </c>
      <c r="H72" s="141">
        <f t="shared" ref="H72:I74" si="19">H$63</f>
        <v>0.94807464779690342</v>
      </c>
      <c r="I72" s="141">
        <f t="shared" si="19"/>
        <v>0.94176385674158591</v>
      </c>
      <c r="N72" s="2"/>
      <c r="O72" s="2"/>
      <c r="P72" s="2"/>
    </row>
    <row r="73" spans="1:16" x14ac:dyDescent="0.25">
      <c r="A73" s="33"/>
      <c r="B73" s="34">
        <f t="shared" si="15"/>
        <v>43405</v>
      </c>
      <c r="C73" s="80">
        <v>31.75</v>
      </c>
      <c r="D73" s="29">
        <f>+$D$63</f>
        <v>0.74945337279191615</v>
      </c>
      <c r="E73" s="80">
        <f t="shared" si="16"/>
        <v>23.8</v>
      </c>
      <c r="H73" s="141">
        <f t="shared" si="19"/>
        <v>0.94807464779690342</v>
      </c>
      <c r="I73" s="141">
        <f t="shared" si="19"/>
        <v>0.94176385674158591</v>
      </c>
      <c r="N73" s="2"/>
      <c r="O73" s="2"/>
      <c r="P73" s="2"/>
    </row>
    <row r="74" spans="1:16" x14ac:dyDescent="0.25">
      <c r="A74" s="33"/>
      <c r="B74" s="34">
        <f t="shared" si="15"/>
        <v>43435</v>
      </c>
      <c r="C74" s="80">
        <v>34.5</v>
      </c>
      <c r="D74" s="29">
        <f>+$D$63</f>
        <v>0.74945337279191615</v>
      </c>
      <c r="E74" s="80">
        <f t="shared" si="16"/>
        <v>25.86</v>
      </c>
      <c r="H74" s="141">
        <f t="shared" si="19"/>
        <v>0.94807464779690342</v>
      </c>
      <c r="I74" s="141">
        <f t="shared" si="19"/>
        <v>0.94176385674158591</v>
      </c>
      <c r="N74" s="2"/>
      <c r="O74" s="2"/>
      <c r="P74" s="2"/>
    </row>
    <row r="75" spans="1:16" x14ac:dyDescent="0.25">
      <c r="A75" s="33"/>
      <c r="B75" s="34"/>
      <c r="C75" s="80"/>
      <c r="D75" s="29"/>
      <c r="E75" s="80"/>
      <c r="H75" s="1"/>
      <c r="I75" s="1"/>
      <c r="N75" s="2"/>
      <c r="O75" s="2"/>
      <c r="P75" s="2"/>
    </row>
    <row r="76" spans="1:16" x14ac:dyDescent="0.25">
      <c r="A76" s="33"/>
      <c r="B76" s="34"/>
      <c r="C76" s="80"/>
      <c r="D76" s="80"/>
      <c r="E76" s="80"/>
      <c r="H76" s="1"/>
      <c r="K76" s="1"/>
    </row>
    <row r="77" spans="1:16" x14ac:dyDescent="0.25">
      <c r="A77" s="32" t="s">
        <v>41</v>
      </c>
      <c r="B77" s="97" t="s">
        <v>39</v>
      </c>
      <c r="C77" s="50" t="s">
        <v>5</v>
      </c>
      <c r="D77" s="50" t="s">
        <v>139</v>
      </c>
      <c r="E77" s="50" t="s">
        <v>6</v>
      </c>
      <c r="F77" s="50" t="s">
        <v>7</v>
      </c>
      <c r="G77" s="50" t="s">
        <v>8</v>
      </c>
      <c r="H77" s="50" t="s">
        <v>9</v>
      </c>
      <c r="I77" s="50" t="s">
        <v>10</v>
      </c>
      <c r="J77" s="50" t="s">
        <v>11</v>
      </c>
      <c r="L77" s="28"/>
    </row>
    <row r="78" spans="1:16" x14ac:dyDescent="0.25">
      <c r="A78" s="33"/>
      <c r="B78" s="5" t="s">
        <v>235</v>
      </c>
      <c r="C78" s="79">
        <v>6.6720174709983343E-2</v>
      </c>
      <c r="D78" s="79">
        <v>6.6720174709983343E-2</v>
      </c>
      <c r="E78" s="79">
        <v>6.6720174709983343E-2</v>
      </c>
      <c r="F78" s="79">
        <v>4.1640711102592348E-2</v>
      </c>
      <c r="G78" s="79">
        <v>6.6720174709983343E-2</v>
      </c>
      <c r="H78" s="79">
        <v>4.1640711102592348E-2</v>
      </c>
      <c r="I78" s="79">
        <v>6.6720174709983343E-2</v>
      </c>
      <c r="J78" s="79">
        <v>6.6720174709983343E-2</v>
      </c>
      <c r="L78" s="170"/>
      <c r="M78" s="170"/>
    </row>
    <row r="79" spans="1:16" x14ac:dyDescent="0.25">
      <c r="A79" s="33"/>
      <c r="B79" s="34" t="s">
        <v>234</v>
      </c>
      <c r="C79" s="189">
        <f t="shared" ref="C79:J79" si="20">1-((1-C78)*(1-0.4251%))</f>
        <v>7.0687547247291205E-2</v>
      </c>
      <c r="D79" s="189">
        <f t="shared" si="20"/>
        <v>7.0687547247291205E-2</v>
      </c>
      <c r="E79" s="189">
        <f t="shared" si="20"/>
        <v>7.0687547247291205E-2</v>
      </c>
      <c r="F79" s="189">
        <f t="shared" si="20"/>
        <v>4.5714696439695279E-2</v>
      </c>
      <c r="G79" s="189">
        <f t="shared" si="20"/>
        <v>7.0687547247291205E-2</v>
      </c>
      <c r="H79" s="189">
        <f t="shared" si="20"/>
        <v>4.5714696439695279E-2</v>
      </c>
      <c r="I79" s="189">
        <f t="shared" si="20"/>
        <v>7.0687547247291205E-2</v>
      </c>
      <c r="J79" s="189">
        <f t="shared" si="20"/>
        <v>7.0687547247291205E-2</v>
      </c>
      <c r="L79" s="79"/>
    </row>
    <row r="80" spans="1:16" x14ac:dyDescent="0.25">
      <c r="A80" s="33"/>
      <c r="B80" s="5" t="s">
        <v>40</v>
      </c>
      <c r="C80" s="98">
        <f>1/(1-C79)</f>
        <v>1.0760643495499369</v>
      </c>
      <c r="D80" s="98">
        <f t="shared" ref="D80:J80" si="21">1/(1-D79)</f>
        <v>1.0760643495499369</v>
      </c>
      <c r="E80" s="98">
        <f t="shared" si="21"/>
        <v>1.0760643495499369</v>
      </c>
      <c r="F80" s="98">
        <f t="shared" si="21"/>
        <v>1.0479046426358449</v>
      </c>
      <c r="G80" s="98">
        <f t="shared" si="21"/>
        <v>1.0760643495499369</v>
      </c>
      <c r="H80" s="98">
        <f t="shared" si="21"/>
        <v>1.0479046426358449</v>
      </c>
      <c r="I80" s="98">
        <f t="shared" si="21"/>
        <v>1.0760643495499369</v>
      </c>
      <c r="J80" s="98">
        <f t="shared" si="21"/>
        <v>1.0760643495499369</v>
      </c>
      <c r="L80" s="98"/>
      <c r="M80" s="165"/>
    </row>
    <row r="81" spans="1:20" x14ac:dyDescent="0.25">
      <c r="A81" s="33"/>
      <c r="C81" s="98"/>
      <c r="D81" s="98"/>
      <c r="E81" s="98"/>
      <c r="F81" s="98"/>
      <c r="G81" s="98"/>
      <c r="H81" s="98"/>
      <c r="I81" s="98"/>
      <c r="J81" s="98"/>
      <c r="L81" s="171"/>
      <c r="M81" s="138"/>
      <c r="T81" s="110"/>
    </row>
    <row r="82" spans="1:20" x14ac:dyDescent="0.25">
      <c r="A82" s="33"/>
      <c r="B82" s="5" t="s">
        <v>233</v>
      </c>
      <c r="C82" s="79">
        <v>1.8012161430003538E-2</v>
      </c>
      <c r="D82" s="79">
        <f>$C$82</f>
        <v>1.8012161430003538E-2</v>
      </c>
      <c r="E82" s="79">
        <f t="shared" ref="E82:J82" si="22">$C$82</f>
        <v>1.8012161430003538E-2</v>
      </c>
      <c r="F82" s="79">
        <f t="shared" si="22"/>
        <v>1.8012161430003538E-2</v>
      </c>
      <c r="G82" s="79">
        <f t="shared" si="22"/>
        <v>1.8012161430003538E-2</v>
      </c>
      <c r="H82" s="79">
        <f t="shared" si="22"/>
        <v>1.8012161430003538E-2</v>
      </c>
      <c r="I82" s="79">
        <f t="shared" si="22"/>
        <v>1.8012161430003538E-2</v>
      </c>
      <c r="J82" s="79">
        <f t="shared" si="22"/>
        <v>1.8012161430003538E-2</v>
      </c>
      <c r="L82" s="190"/>
    </row>
    <row r="83" spans="1:20" x14ac:dyDescent="0.25">
      <c r="A83" s="33"/>
      <c r="B83" s="5" t="s">
        <v>236</v>
      </c>
      <c r="C83" s="189">
        <f t="shared" ref="C83:J83" si="23">1-((1-C79)/(1-C82))</f>
        <v>5.3641586736955293E-2</v>
      </c>
      <c r="D83" s="189">
        <f t="shared" si="23"/>
        <v>5.3641586736955293E-2</v>
      </c>
      <c r="E83" s="189">
        <f t="shared" si="23"/>
        <v>5.3641586736955293E-2</v>
      </c>
      <c r="F83" s="189">
        <f t="shared" si="23"/>
        <v>2.8210670154564355E-2</v>
      </c>
      <c r="G83" s="189">
        <f t="shared" si="23"/>
        <v>5.3641586736955293E-2</v>
      </c>
      <c r="H83" s="189">
        <f t="shared" si="23"/>
        <v>2.8210670154564355E-2</v>
      </c>
      <c r="I83" s="189">
        <f t="shared" si="23"/>
        <v>5.3641586736955293E-2</v>
      </c>
      <c r="J83" s="189">
        <f t="shared" si="23"/>
        <v>5.3641586736955293E-2</v>
      </c>
      <c r="L83" s="98"/>
    </row>
    <row r="84" spans="1:20" x14ac:dyDescent="0.25">
      <c r="A84" s="33"/>
      <c r="B84" s="5" t="s">
        <v>237</v>
      </c>
      <c r="C84" s="98">
        <f t="shared" ref="C84:J84" si="24">1/(1-C83)</f>
        <v>1.0566821047767716</v>
      </c>
      <c r="D84" s="98">
        <f t="shared" si="24"/>
        <v>1.0566821047767716</v>
      </c>
      <c r="E84" s="98">
        <f t="shared" si="24"/>
        <v>1.0566821047767716</v>
      </c>
      <c r="F84" s="98">
        <f t="shared" si="24"/>
        <v>1.029029615049438</v>
      </c>
      <c r="G84" s="98">
        <f t="shared" si="24"/>
        <v>1.0566821047767716</v>
      </c>
      <c r="H84" s="98">
        <f t="shared" si="24"/>
        <v>1.029029615049438</v>
      </c>
      <c r="I84" s="98">
        <f t="shared" si="24"/>
        <v>1.0566821047767716</v>
      </c>
      <c r="J84" s="98">
        <f t="shared" si="24"/>
        <v>1.0566821047767716</v>
      </c>
      <c r="L84" s="98"/>
    </row>
    <row r="85" spans="1:20" x14ac:dyDescent="0.25">
      <c r="A85" s="33"/>
      <c r="C85" s="98"/>
      <c r="D85" s="98"/>
      <c r="E85" s="98"/>
      <c r="F85" s="98"/>
      <c r="G85" s="98"/>
      <c r="H85" s="98"/>
      <c r="I85" s="98"/>
      <c r="J85" s="98"/>
      <c r="L85" s="98"/>
    </row>
    <row r="86" spans="1:20" x14ac:dyDescent="0.25">
      <c r="A86" s="33"/>
      <c r="C86" s="170"/>
    </row>
    <row r="87" spans="1:20" x14ac:dyDescent="0.25">
      <c r="A87" s="32" t="s">
        <v>48</v>
      </c>
      <c r="B87" s="3" t="s">
        <v>42</v>
      </c>
    </row>
    <row r="88" spans="1:20" x14ac:dyDescent="0.25">
      <c r="A88" s="33"/>
      <c r="B88" s="4" t="s">
        <v>43</v>
      </c>
      <c r="L88" s="170"/>
    </row>
    <row r="89" spans="1:20" x14ac:dyDescent="0.25">
      <c r="A89" s="33"/>
      <c r="B89" s="4" t="s">
        <v>35</v>
      </c>
    </row>
    <row r="90" spans="1:20" x14ac:dyDescent="0.25">
      <c r="A90" s="33"/>
      <c r="B90" s="3"/>
      <c r="C90" s="50" t="s">
        <v>5</v>
      </c>
      <c r="D90" s="50" t="s">
        <v>139</v>
      </c>
      <c r="E90" s="50" t="s">
        <v>6</v>
      </c>
      <c r="F90" s="50" t="s">
        <v>7</v>
      </c>
      <c r="G90" s="50" t="s">
        <v>8</v>
      </c>
      <c r="H90" s="50" t="s">
        <v>9</v>
      </c>
      <c r="I90" s="50" t="s">
        <v>10</v>
      </c>
      <c r="J90" s="50" t="s">
        <v>11</v>
      </c>
      <c r="L90" s="28"/>
    </row>
    <row r="91" spans="1:20" x14ac:dyDescent="0.25">
      <c r="A91" s="33"/>
    </row>
    <row r="92" spans="1:20" x14ac:dyDescent="0.25">
      <c r="A92" s="33"/>
      <c r="B92" s="34" t="s">
        <v>44</v>
      </c>
      <c r="C92" s="15">
        <f t="shared" ref="C92:J92" si="25">(SUMPRODUCT(C14:C17,C50:C53,$C68:$C71,$H68:$H71)*C80+SUMPRODUCT(O14:O17,C50:C53,$E68:$E71,$I68:$I71)*C80)/SUM(C50:C53)</f>
        <v>29.860953461278456</v>
      </c>
      <c r="D92" s="15">
        <f>(SUMPRODUCT(D14:D17,D50:D53,$C68:$C71,$H68:$H71)*D80+SUMPRODUCT(P14:P17,D50:D53,$E68:$E71,$I68:$I71)*D80)/SUM(D50:D53)</f>
        <v>29.857042372333126</v>
      </c>
      <c r="E92" s="15">
        <f t="shared" si="25"/>
        <v>30.246482129598835</v>
      </c>
      <c r="F92" s="15">
        <f t="shared" si="25"/>
        <v>28.892024742192483</v>
      </c>
      <c r="G92" s="15">
        <f t="shared" si="25"/>
        <v>30.195219156202128</v>
      </c>
      <c r="H92" s="15">
        <f t="shared" si="25"/>
        <v>28.915184177019881</v>
      </c>
      <c r="I92" s="15">
        <f t="shared" si="25"/>
        <v>25.076611001680021</v>
      </c>
      <c r="J92" s="15">
        <f t="shared" si="25"/>
        <v>29.117255229074331</v>
      </c>
      <c r="K92" s="99"/>
      <c r="L92" s="15"/>
    </row>
    <row r="93" spans="1:20" x14ac:dyDescent="0.25">
      <c r="A93" s="33"/>
      <c r="B93" s="34" t="s">
        <v>135</v>
      </c>
      <c r="C93" s="15">
        <f>(SUMPRODUCT(C$14:C$17,C$50:C$53,$C$68:$C$71,$H$68:$H$71)*C$80)/SUMPRODUCT(C$14:C$17,C$50:C$53)</f>
        <v>36.50580942078183</v>
      </c>
      <c r="D93" s="15">
        <f>(SUMPRODUCT(D$14:D$17,D$50:D$53,$C$68:$C$71,$H$68:$H$71)*D$80)/SUMPRODUCT(D$14:D$17,D$50:D$53)</f>
        <v>36.495911648831871</v>
      </c>
      <c r="E93" s="15">
        <f t="shared" ref="E93:J93" si="26">(SUMPRODUCT(E$14:E$17,E$50:E$53,$C$68:$C$71,$H$68:$H$71)*E$80)/SUMPRODUCT(E$14:E$17,E$50:E$53)</f>
        <v>36.37266107660556</v>
      </c>
      <c r="F93" s="15">
        <f t="shared" si="26"/>
        <v>35.388581525872567</v>
      </c>
      <c r="G93" s="15">
        <f t="shared" si="26"/>
        <v>36.37369595879386</v>
      </c>
      <c r="H93" s="15">
        <f t="shared" si="26"/>
        <v>35.457254633207263</v>
      </c>
      <c r="I93" s="15">
        <f t="shared" si="26"/>
        <v>36.068364895033646</v>
      </c>
      <c r="J93" s="15">
        <f t="shared" si="26"/>
        <v>36.36047586872413</v>
      </c>
      <c r="K93" s="99"/>
      <c r="L93" s="15"/>
    </row>
    <row r="94" spans="1:20" x14ac:dyDescent="0.25">
      <c r="A94" s="33"/>
      <c r="B94" s="34" t="s">
        <v>136</v>
      </c>
      <c r="C94" s="15">
        <f t="shared" ref="C94:J94" si="27">(SUMPRODUCT(O$14:O$17,C$50:C$53,$E$68:$E$71,$I$68:$I$71)*C$80)/SUMPRODUCT(O$14:O$17,C$50:C$53)</f>
        <v>21.942036281579608</v>
      </c>
      <c r="D94" s="15">
        <f t="shared" si="27"/>
        <v>21.940018869588226</v>
      </c>
      <c r="E94" s="15">
        <f t="shared" si="27"/>
        <v>21.915948868338337</v>
      </c>
      <c r="F94" s="15">
        <f t="shared" si="27"/>
        <v>21.306527034486923</v>
      </c>
      <c r="G94" s="15">
        <f t="shared" si="27"/>
        <v>21.924358927083944</v>
      </c>
      <c r="H94" s="15">
        <f t="shared" si="27"/>
        <v>21.380663288648741</v>
      </c>
      <c r="I94" s="15">
        <f t="shared" si="27"/>
        <v>21.851456707616006</v>
      </c>
      <c r="J94" s="15">
        <f t="shared" si="27"/>
        <v>21.906147450623099</v>
      </c>
      <c r="K94" s="99"/>
      <c r="L94" s="15"/>
    </row>
    <row r="95" spans="1:20" x14ac:dyDescent="0.25">
      <c r="A95" s="33"/>
      <c r="B95" s="34"/>
      <c r="C95" s="15"/>
      <c r="D95" s="15"/>
      <c r="E95" s="15"/>
      <c r="F95" s="15"/>
      <c r="G95" s="15"/>
      <c r="H95" s="15"/>
      <c r="I95" s="15"/>
      <c r="J95" s="15"/>
      <c r="K95" s="99"/>
      <c r="L95" s="15"/>
    </row>
    <row r="96" spans="1:20" x14ac:dyDescent="0.25">
      <c r="A96" s="33"/>
      <c r="B96" s="34" t="s">
        <v>45</v>
      </c>
      <c r="C96" s="15">
        <f t="shared" ref="C96:J96" si="28">(SUMPRODUCT(C9:C13,C45:C49,$C63:$C67,$H63:$H67)*C80+SUMPRODUCT(O9:O13,C45:C49,$E63:$E67,$I63:$I67)*C80+SUMPRODUCT(C18:C20,C54:C56,$C72:$C74,$H72:$H74)*C80+SUMPRODUCT(O18:O20,C54:C56,$E72:$E74,$I72:$I74)*C80)/SUM(C45:C49,C54:C56)</f>
        <v>33.029383407557802</v>
      </c>
      <c r="D96" s="15">
        <f t="shared" si="28"/>
        <v>33.251760125325838</v>
      </c>
      <c r="E96" s="15">
        <f t="shared" si="28"/>
        <v>32.824217480875532</v>
      </c>
      <c r="F96" s="15">
        <f t="shared" si="28"/>
        <v>31.817387049220851</v>
      </c>
      <c r="G96" s="15">
        <f t="shared" si="28"/>
        <v>32.85914964945573</v>
      </c>
      <c r="H96" s="15">
        <f t="shared" si="28"/>
        <v>31.683620204919258</v>
      </c>
      <c r="I96" s="15">
        <f t="shared" si="28"/>
        <v>30.668368754442216</v>
      </c>
      <c r="J96" s="15">
        <f t="shared" si="28"/>
        <v>32.169250882137625</v>
      </c>
      <c r="K96" s="99"/>
      <c r="L96" s="15"/>
    </row>
    <row r="97" spans="1:12" x14ac:dyDescent="0.25">
      <c r="A97" s="33"/>
      <c r="B97" s="34" t="s">
        <v>135</v>
      </c>
      <c r="C97" s="15">
        <f t="shared" ref="C97:J97" si="29">((SUMPRODUCT(C$9:C$13,C$45:C$49,$C$63:$C$67,$H$63:$H$67)*C$80)+(SUMPRODUCT(C$18:C$20,C$54:C$56,$C$72:$C$74,$H$72:$H$74)*C$80))/(SUMPRODUCT(C$9:C$13,C$45:C$49)+SUMPRODUCT(C$18:C$20,C$54:C$56))</f>
        <v>37.790420545242668</v>
      </c>
      <c r="D97" s="15">
        <f t="shared" si="29"/>
        <v>38.042793643410675</v>
      </c>
      <c r="E97" s="15">
        <f t="shared" si="29"/>
        <v>37.009641745158504</v>
      </c>
      <c r="F97" s="15">
        <f t="shared" si="29"/>
        <v>36.218690927762687</v>
      </c>
      <c r="G97" s="15">
        <f t="shared" si="29"/>
        <v>36.899258655059811</v>
      </c>
      <c r="H97" s="15">
        <f t="shared" si="29"/>
        <v>36.01269172830888</v>
      </c>
      <c r="I97" s="15">
        <f t="shared" si="29"/>
        <v>37.628711352459028</v>
      </c>
      <c r="J97" s="15">
        <f t="shared" si="29"/>
        <v>36.965720832324848</v>
      </c>
      <c r="K97" s="99"/>
      <c r="L97" s="15"/>
    </row>
    <row r="98" spans="1:12" x14ac:dyDescent="0.25">
      <c r="A98" s="33"/>
      <c r="B98" s="34" t="s">
        <v>136</v>
      </c>
      <c r="C98" s="15">
        <f t="shared" ref="C98:J98" si="30">((SUMPRODUCT(O$9:O$13,C$45:C$49,$E$63:$E$67,$I$63:$I$67)*C$80)+(SUMPRODUCT(O$18:O$20,C$54:C$56,$E$72:$E$74,$I$72:$I$74)*C$80))/(SUMPRODUCT(O$9:O$13,C$45:C$49)+SUMPRODUCT(O$18:O$20,C$54:C$56))</f>
        <v>28.308152323287327</v>
      </c>
      <c r="D98" s="15">
        <f t="shared" si="30"/>
        <v>28.50426047586215</v>
      </c>
      <c r="E98" s="15">
        <f t="shared" si="30"/>
        <v>27.718188273436123</v>
      </c>
      <c r="F98" s="15">
        <f t="shared" si="30"/>
        <v>27.26248229386287</v>
      </c>
      <c r="G98" s="15">
        <f t="shared" si="30"/>
        <v>27.771458460850237</v>
      </c>
      <c r="H98" s="15">
        <f t="shared" si="30"/>
        <v>27.05816912164325</v>
      </c>
      <c r="I98" s="15">
        <f t="shared" si="30"/>
        <v>27.659380426028441</v>
      </c>
      <c r="J98" s="15">
        <f t="shared" si="30"/>
        <v>27.712753576409213</v>
      </c>
      <c r="K98" s="99"/>
      <c r="L98" s="15"/>
    </row>
    <row r="99" spans="1:12" x14ac:dyDescent="0.25">
      <c r="A99" s="33"/>
      <c r="B99" s="34"/>
      <c r="C99" s="15"/>
      <c r="D99" s="15"/>
      <c r="E99" s="15"/>
      <c r="F99" s="15"/>
      <c r="G99" s="15"/>
      <c r="H99" s="15"/>
      <c r="I99" s="15"/>
      <c r="J99" s="15"/>
      <c r="K99" s="99"/>
      <c r="L99" s="15"/>
    </row>
    <row r="100" spans="1:12" x14ac:dyDescent="0.25">
      <c r="A100" s="33"/>
      <c r="B100" s="5" t="s">
        <v>46</v>
      </c>
      <c r="C100" s="36">
        <f>(C92*SUM(C50:C53)+C96*SUM(C45:C49,C54:C56))/C57</f>
        <v>31.700628502011874</v>
      </c>
      <c r="D100" s="36">
        <f t="shared" ref="D100:J100" si="31">(D92*SUM(D50:D53)+D96*SUM(D45:D49,D54:D56))/D57</f>
        <v>31.940567883676213</v>
      </c>
      <c r="E100" s="36">
        <f t="shared" si="31"/>
        <v>31.815507043391307</v>
      </c>
      <c r="F100" s="36">
        <f t="shared" si="31"/>
        <v>30.878677384503661</v>
      </c>
      <c r="G100" s="36">
        <f t="shared" si="31"/>
        <v>31.820993460061388</v>
      </c>
      <c r="H100" s="36">
        <f t="shared" si="31"/>
        <v>30.619709846776114</v>
      </c>
      <c r="I100" s="36">
        <f t="shared" si="31"/>
        <v>28.844723402951736</v>
      </c>
      <c r="J100" s="36">
        <f t="shared" si="31"/>
        <v>30.971069460332835</v>
      </c>
      <c r="L100" s="36"/>
    </row>
    <row r="101" spans="1:12" x14ac:dyDescent="0.25">
      <c r="A101" s="33"/>
    </row>
    <row r="102" spans="1:12" x14ac:dyDescent="0.25">
      <c r="A102" s="33"/>
      <c r="B102" s="5" t="s">
        <v>47</v>
      </c>
      <c r="C102" s="100"/>
      <c r="D102" s="100"/>
      <c r="F102" s="101"/>
      <c r="G102" s="15">
        <f>SUMPRODUCT(C100:J100,C57:J57)/SUM(C57:J57)</f>
        <v>31.698373003073623</v>
      </c>
    </row>
    <row r="103" spans="1:12" x14ac:dyDescent="0.25">
      <c r="A103" s="33"/>
      <c r="C103" s="100"/>
      <c r="D103" s="100"/>
    </row>
    <row r="104" spans="1:12" x14ac:dyDescent="0.25">
      <c r="A104" s="33"/>
      <c r="C104" s="102"/>
      <c r="D104" s="102"/>
      <c r="E104" s="102"/>
      <c r="F104" s="103"/>
      <c r="G104" s="102"/>
      <c r="H104" s="102"/>
      <c r="J104" s="102"/>
    </row>
    <row r="105" spans="1:12" x14ac:dyDescent="0.25">
      <c r="A105" s="32" t="s">
        <v>77</v>
      </c>
      <c r="B105" s="3" t="s">
        <v>143</v>
      </c>
      <c r="C105" s="102"/>
      <c r="D105" s="102"/>
      <c r="E105" s="102"/>
      <c r="F105" s="103"/>
      <c r="G105" s="102"/>
      <c r="H105" s="102"/>
      <c r="J105" s="102"/>
    </row>
    <row r="106" spans="1:12" x14ac:dyDescent="0.25">
      <c r="A106" s="33"/>
      <c r="B106" s="4" t="s">
        <v>144</v>
      </c>
      <c r="C106" s="102"/>
      <c r="D106" s="102"/>
      <c r="E106" s="102"/>
      <c r="F106" s="103"/>
      <c r="G106" s="102"/>
      <c r="H106" s="102"/>
      <c r="J106" s="102"/>
    </row>
    <row r="107" spans="1:12" x14ac:dyDescent="0.25">
      <c r="A107" s="33"/>
      <c r="B107" s="4" t="s">
        <v>145</v>
      </c>
      <c r="C107" s="102"/>
      <c r="D107" s="102"/>
      <c r="E107" s="102"/>
      <c r="F107" s="103"/>
      <c r="G107" s="102"/>
      <c r="H107" s="102"/>
      <c r="J107" s="102"/>
    </row>
    <row r="108" spans="1:12" x14ac:dyDescent="0.25">
      <c r="A108" s="33"/>
      <c r="C108" s="50" t="s">
        <v>5</v>
      </c>
      <c r="D108" s="50" t="s">
        <v>139</v>
      </c>
      <c r="E108" s="50" t="s">
        <v>6</v>
      </c>
      <c r="F108" s="50" t="s">
        <v>7</v>
      </c>
      <c r="G108" s="50" t="s">
        <v>8</v>
      </c>
      <c r="H108" s="50" t="s">
        <v>9</v>
      </c>
      <c r="I108" s="50" t="s">
        <v>10</v>
      </c>
      <c r="J108" s="50" t="s">
        <v>11</v>
      </c>
      <c r="K108" s="50"/>
    </row>
    <row r="109" spans="1:12" x14ac:dyDescent="0.25">
      <c r="A109" s="33"/>
      <c r="C109" s="102"/>
      <c r="D109" s="102"/>
      <c r="E109" s="102"/>
      <c r="F109" s="103"/>
      <c r="G109" s="102"/>
      <c r="H109" s="102"/>
      <c r="J109" s="102"/>
    </row>
    <row r="110" spans="1:12" x14ac:dyDescent="0.25">
      <c r="B110" s="34" t="s">
        <v>44</v>
      </c>
      <c r="C110" s="153">
        <f>SUM(C50:C53)*C92/1000</f>
        <v>47446.625356774486</v>
      </c>
      <c r="D110" s="153">
        <f t="shared" ref="D110:J110" si="32">SUM(D50:D53)*D92/1000</f>
        <v>34.122442904910642</v>
      </c>
      <c r="E110" s="153">
        <f t="shared" si="32"/>
        <v>8698.1533092832233</v>
      </c>
      <c r="F110" s="153">
        <f t="shared" si="32"/>
        <v>85.351335676796225</v>
      </c>
      <c r="G110" s="153">
        <f t="shared" si="32"/>
        <v>10111.871129589363</v>
      </c>
      <c r="H110" s="153">
        <f t="shared" si="32"/>
        <v>555.35121891556923</v>
      </c>
      <c r="I110" s="153">
        <f t="shared" si="32"/>
        <v>382.20733419455439</v>
      </c>
      <c r="J110" s="153">
        <f t="shared" si="32"/>
        <v>92.641065028869164</v>
      </c>
    </row>
    <row r="111" spans="1:12" x14ac:dyDescent="0.25">
      <c r="B111" s="35" t="s">
        <v>146</v>
      </c>
      <c r="C111" s="153">
        <f t="shared" ref="C111:J111" si="33">SUMPRODUCT(C50:C53,C14:C17)*C93/1000</f>
        <v>31539.553140071836</v>
      </c>
      <c r="D111" s="153">
        <f t="shared" si="33"/>
        <v>22.686141376703432</v>
      </c>
      <c r="E111" s="153">
        <f t="shared" si="33"/>
        <v>6027.4071717996121</v>
      </c>
      <c r="F111" s="153">
        <f t="shared" si="33"/>
        <v>56.313634780674242</v>
      </c>
      <c r="G111" s="153">
        <f t="shared" si="33"/>
        <v>6972.4198861892692</v>
      </c>
      <c r="H111" s="153">
        <f t="shared" si="33"/>
        <v>364.50627666709471</v>
      </c>
      <c r="I111" s="153">
        <f t="shared" si="33"/>
        <v>124.71019716417302</v>
      </c>
      <c r="J111" s="153">
        <f t="shared" si="33"/>
        <v>57.714738575033131</v>
      </c>
    </row>
    <row r="112" spans="1:12" x14ac:dyDescent="0.25">
      <c r="B112" s="35" t="s">
        <v>147</v>
      </c>
      <c r="C112" s="153">
        <f t="shared" ref="C112:J112" si="34">SUMPRODUCT(C50:C53,O14:O17)*C94/1000</f>
        <v>15907.072216702651</v>
      </c>
      <c r="D112" s="153">
        <f t="shared" si="34"/>
        <v>11.436301528207215</v>
      </c>
      <c r="E112" s="153">
        <f t="shared" si="34"/>
        <v>2670.7461374836116</v>
      </c>
      <c r="F112" s="153">
        <f t="shared" si="34"/>
        <v>29.03770089612199</v>
      </c>
      <c r="G112" s="153">
        <f t="shared" si="34"/>
        <v>3139.4512434000935</v>
      </c>
      <c r="H112" s="153">
        <f t="shared" si="34"/>
        <v>190.84494224847452</v>
      </c>
      <c r="I112" s="153">
        <f t="shared" si="34"/>
        <v>257.49713703038134</v>
      </c>
      <c r="J112" s="153">
        <f t="shared" si="34"/>
        <v>34.926326453836033</v>
      </c>
    </row>
    <row r="113" spans="1:29" x14ac:dyDescent="0.25">
      <c r="C113" s="102"/>
      <c r="D113" s="102"/>
      <c r="E113" s="102"/>
      <c r="F113" s="102"/>
      <c r="G113" s="102"/>
      <c r="H113" s="102"/>
      <c r="I113" s="102"/>
      <c r="J113" s="102"/>
    </row>
    <row r="114" spans="1:29" x14ac:dyDescent="0.25">
      <c r="B114" s="34" t="s">
        <v>45</v>
      </c>
      <c r="C114" s="154">
        <f t="shared" ref="C114:J114" si="35">SUM(C45:C49,C54:C56)*C96/1000</f>
        <v>72660.496261033957</v>
      </c>
      <c r="D114" s="154">
        <f t="shared" si="35"/>
        <v>60.386578304756071</v>
      </c>
      <c r="E114" s="154">
        <f t="shared" si="35"/>
        <v>14682.834172078843</v>
      </c>
      <c r="F114" s="154">
        <f t="shared" si="35"/>
        <v>198.92414713237139</v>
      </c>
      <c r="G114" s="154">
        <f t="shared" si="35"/>
        <v>17232.457570929851</v>
      </c>
      <c r="H114" s="154">
        <f t="shared" si="35"/>
        <v>974.93368062431455</v>
      </c>
      <c r="I114" s="154">
        <f t="shared" si="35"/>
        <v>965.8380597304897</v>
      </c>
      <c r="J114" s="154">
        <f t="shared" si="35"/>
        <v>158.35715252776035</v>
      </c>
    </row>
    <row r="115" spans="1:29" x14ac:dyDescent="0.25">
      <c r="B115" s="35" t="s">
        <v>146</v>
      </c>
      <c r="C115" s="153">
        <f t="shared" ref="C115:J115" si="36">(SUMPRODUCT(C45:C49,C9:C13)+SUMPRODUCT(C54:C56,C18:C20))*C97/1000</f>
        <v>41392.593664584361</v>
      </c>
      <c r="D115" s="153">
        <f t="shared" si="36"/>
        <v>34.385989925294865</v>
      </c>
      <c r="E115" s="153">
        <f t="shared" si="36"/>
        <v>9097.6669050055043</v>
      </c>
      <c r="F115" s="153">
        <f t="shared" si="36"/>
        <v>115.16243559592812</v>
      </c>
      <c r="G115" s="153">
        <f t="shared" si="36"/>
        <v>10786.068057195263</v>
      </c>
      <c r="H115" s="153">
        <f t="shared" si="36"/>
        <v>572.41039762156322</v>
      </c>
      <c r="I115" s="153">
        <f t="shared" si="36"/>
        <v>357.6740850986385</v>
      </c>
      <c r="J115" s="153">
        <f t="shared" si="36"/>
        <v>87.641245050501809</v>
      </c>
    </row>
    <row r="116" spans="1:29" x14ac:dyDescent="0.25">
      <c r="B116" s="35" t="s">
        <v>147</v>
      </c>
      <c r="C116" s="153">
        <f t="shared" ref="C116:J116" si="37">+(SUMPRODUCT(C45:C49,O9:O13)+SUMPRODUCT(C54:C56,O18:O20))*C98/1000</f>
        <v>31267.902596449585</v>
      </c>
      <c r="D116" s="153">
        <f t="shared" si="37"/>
        <v>26.000588379461195</v>
      </c>
      <c r="E116" s="153">
        <f t="shared" si="37"/>
        <v>5585.167267073336</v>
      </c>
      <c r="F116" s="153">
        <f t="shared" si="37"/>
        <v>83.761711536443272</v>
      </c>
      <c r="G116" s="153">
        <f t="shared" si="37"/>
        <v>6446.389513734588</v>
      </c>
      <c r="H116" s="153">
        <f t="shared" si="37"/>
        <v>402.52328300275144</v>
      </c>
      <c r="I116" s="153">
        <f t="shared" si="37"/>
        <v>608.16397463185126</v>
      </c>
      <c r="J116" s="153">
        <f t="shared" si="37"/>
        <v>70.715907477258526</v>
      </c>
    </row>
    <row r="117" spans="1:29" x14ac:dyDescent="0.25">
      <c r="C117" s="102"/>
      <c r="D117" s="102"/>
      <c r="E117" s="102"/>
      <c r="F117" s="103"/>
      <c r="G117" s="102"/>
      <c r="H117" s="102"/>
      <c r="J117" s="102"/>
    </row>
    <row r="118" spans="1:29" x14ac:dyDescent="0.25">
      <c r="B118" s="5" t="s">
        <v>46</v>
      </c>
      <c r="C118" s="154">
        <f>+C110+C114</f>
        <v>120107.12161780844</v>
      </c>
      <c r="D118" s="154">
        <f t="shared" ref="D118:J118" si="38">+D110+D114</f>
        <v>94.509021209666713</v>
      </c>
      <c r="E118" s="154">
        <f t="shared" si="38"/>
        <v>23380.987481362066</v>
      </c>
      <c r="F118" s="154">
        <f t="shared" si="38"/>
        <v>284.27548280916761</v>
      </c>
      <c r="G118" s="154">
        <f t="shared" si="38"/>
        <v>27344.328700519214</v>
      </c>
      <c r="H118" s="154">
        <f>+H110+H114</f>
        <v>1530.2848995398838</v>
      </c>
      <c r="I118" s="154">
        <f t="shared" si="38"/>
        <v>1348.0453939250442</v>
      </c>
      <c r="J118" s="154">
        <f t="shared" si="38"/>
        <v>250.99821755662953</v>
      </c>
    </row>
    <row r="119" spans="1:29" x14ac:dyDescent="0.25">
      <c r="C119" s="102"/>
      <c r="D119" s="102"/>
      <c r="E119" s="102"/>
      <c r="F119" s="103"/>
      <c r="G119" s="102"/>
      <c r="H119" s="102"/>
      <c r="J119" s="102"/>
    </row>
    <row r="120" spans="1:29" x14ac:dyDescent="0.25">
      <c r="B120" s="5" t="s">
        <v>148</v>
      </c>
      <c r="C120" s="153">
        <f>SUM(C118:J118)</f>
        <v>174340.55081473014</v>
      </c>
      <c r="D120" s="102"/>
      <c r="E120" s="102"/>
      <c r="F120" s="103"/>
      <c r="G120" s="102"/>
      <c r="H120" s="102"/>
      <c r="J120" s="102"/>
    </row>
    <row r="121" spans="1:29" x14ac:dyDescent="0.25">
      <c r="A121" s="33"/>
      <c r="C121" s="102"/>
      <c r="D121" s="102"/>
      <c r="E121" s="102"/>
      <c r="F121" s="103"/>
      <c r="G121" s="102"/>
      <c r="H121" s="102"/>
      <c r="J121" s="102"/>
    </row>
    <row r="122" spans="1:29" x14ac:dyDescent="0.25">
      <c r="A122" s="33"/>
      <c r="C122" s="102"/>
      <c r="D122" s="102"/>
      <c r="E122" s="102"/>
      <c r="F122" s="103"/>
      <c r="G122" s="102"/>
      <c r="H122" s="102"/>
      <c r="J122" s="102"/>
    </row>
    <row r="123" spans="1:29" x14ac:dyDescent="0.25">
      <c r="A123" s="32" t="s">
        <v>78</v>
      </c>
      <c r="B123" s="3" t="s">
        <v>149</v>
      </c>
      <c r="C123" s="102"/>
      <c r="D123" s="102"/>
      <c r="E123" s="102"/>
      <c r="F123" s="103"/>
      <c r="G123" s="102"/>
      <c r="H123" s="102"/>
      <c r="J123" s="102"/>
      <c r="P123" s="5" t="s">
        <v>159</v>
      </c>
      <c r="Q123" s="5" t="s">
        <v>155</v>
      </c>
      <c r="R123" s="5" t="s">
        <v>156</v>
      </c>
      <c r="S123" s="7" t="s">
        <v>157</v>
      </c>
    </row>
    <row r="124" spans="1:29" x14ac:dyDescent="0.25">
      <c r="A124" s="33"/>
      <c r="B124" s="4" t="s">
        <v>150</v>
      </c>
      <c r="C124" s="102"/>
      <c r="D124" s="102"/>
      <c r="E124" s="102"/>
      <c r="F124" s="103"/>
      <c r="G124" s="102"/>
      <c r="H124" s="102"/>
      <c r="J124" s="102"/>
      <c r="R124" s="5" t="s">
        <v>160</v>
      </c>
      <c r="S124" s="7" t="s">
        <v>161</v>
      </c>
      <c r="T124" s="5" t="s">
        <v>158</v>
      </c>
    </row>
    <row r="125" spans="1:29" x14ac:dyDescent="0.25">
      <c r="A125" s="33"/>
      <c r="B125" s="4" t="s">
        <v>35</v>
      </c>
      <c r="C125" s="102"/>
      <c r="D125" s="102"/>
      <c r="E125" s="102"/>
      <c r="F125" s="103"/>
      <c r="G125" s="102"/>
      <c r="H125" s="102"/>
      <c r="J125" s="102"/>
    </row>
    <row r="126" spans="1:29" x14ac:dyDescent="0.25">
      <c r="A126" s="33"/>
      <c r="B126" s="3"/>
      <c r="C126" s="50" t="s">
        <v>5</v>
      </c>
      <c r="D126" s="50" t="s">
        <v>139</v>
      </c>
      <c r="E126" s="50" t="s">
        <v>6</v>
      </c>
      <c r="F126" s="50" t="s">
        <v>7</v>
      </c>
      <c r="G126" s="50" t="s">
        <v>8</v>
      </c>
      <c r="H126" s="50" t="s">
        <v>9</v>
      </c>
      <c r="I126" s="50" t="s">
        <v>10</v>
      </c>
      <c r="J126" s="50" t="s">
        <v>11</v>
      </c>
      <c r="P126" s="28" t="str">
        <f>+D126</f>
        <v>RS TOU - BGS</v>
      </c>
      <c r="Q126" s="28" t="str">
        <f>P126</f>
        <v>RS TOU - BGS</v>
      </c>
      <c r="R126" s="28" t="str">
        <f>+D126</f>
        <v>RS TOU - BGS</v>
      </c>
      <c r="S126" s="28" t="str">
        <f>+D126</f>
        <v>RS TOU - BGS</v>
      </c>
      <c r="T126" s="37" t="str">
        <f>+D126</f>
        <v>RS TOU - BGS</v>
      </c>
      <c r="U126" s="28"/>
      <c r="W126" s="28"/>
      <c r="Z126" s="28"/>
      <c r="AC126" s="28"/>
    </row>
    <row r="127" spans="1:29" x14ac:dyDescent="0.25">
      <c r="A127" s="33"/>
      <c r="C127" s="102"/>
      <c r="D127" s="102"/>
      <c r="E127" s="102"/>
      <c r="F127" s="103"/>
      <c r="G127" s="102"/>
      <c r="H127" s="102"/>
      <c r="J127" s="102"/>
    </row>
    <row r="128" spans="1:29" x14ac:dyDescent="0.25">
      <c r="A128" s="33"/>
      <c r="B128" s="34" t="s">
        <v>44</v>
      </c>
      <c r="C128" s="155">
        <f t="shared" ref="C128:J128" si="39">+C110/SUM(C50:C53)*1000</f>
        <v>29.860953461278456</v>
      </c>
      <c r="D128" s="155">
        <f>+D110/SUM(D50:D53)*1000</f>
        <v>29.857042372333126</v>
      </c>
      <c r="E128" s="155">
        <f t="shared" si="39"/>
        <v>30.246482129598835</v>
      </c>
      <c r="F128" s="155">
        <f t="shared" si="39"/>
        <v>28.892024742192483</v>
      </c>
      <c r="G128" s="155">
        <f t="shared" si="39"/>
        <v>30.195219156202128</v>
      </c>
      <c r="H128" s="155">
        <f t="shared" si="39"/>
        <v>28.915184177019881</v>
      </c>
      <c r="I128" s="155">
        <f t="shared" si="39"/>
        <v>25.076611001680021</v>
      </c>
      <c r="J128" s="155">
        <f t="shared" si="39"/>
        <v>29.117255229074328</v>
      </c>
    </row>
    <row r="129" spans="1:29" x14ac:dyDescent="0.25">
      <c r="A129" s="33"/>
      <c r="B129" s="35" t="s">
        <v>153</v>
      </c>
      <c r="C129" s="102"/>
      <c r="D129" s="155">
        <f>+(D111*1000-R129*AVERAGE(D$93,D$94))/P129</f>
        <v>38.349732008912383</v>
      </c>
      <c r="E129" s="104"/>
      <c r="F129" s="103"/>
      <c r="G129" s="102"/>
      <c r="H129" s="102"/>
      <c r="J129" s="102"/>
      <c r="P129" s="38">
        <f>SUMPRODUCT(D50:D53,D32:D35)</f>
        <v>495.41649217021558</v>
      </c>
      <c r="Q129" s="38">
        <f>SUMPRODUCT(D50:D53,D14:D17)</f>
        <v>621.60774595774615</v>
      </c>
      <c r="R129" s="38">
        <f>+Q129-P129</f>
        <v>126.19125378753057</v>
      </c>
      <c r="S129" s="39">
        <f>+D129*P129/1000</f>
        <v>18.999089707523208</v>
      </c>
      <c r="W129" s="38"/>
      <c r="Z129" s="39"/>
    </row>
    <row r="130" spans="1:29" ht="15" x14ac:dyDescent="0.4">
      <c r="A130" s="33"/>
      <c r="B130" s="35" t="s">
        <v>154</v>
      </c>
      <c r="C130" s="102"/>
      <c r="D130" s="155">
        <f>+(D112*1000-R130*AVERAGE(D$93,D$94))/P130</f>
        <v>23.358539642811522</v>
      </c>
      <c r="E130" s="102"/>
      <c r="F130" s="103"/>
      <c r="G130" s="102"/>
      <c r="H130" s="102"/>
      <c r="J130" s="102"/>
      <c r="P130" s="38">
        <f>SUMPRODUCT(D50:D53,P32:P35)</f>
        <v>647.44429354947204</v>
      </c>
      <c r="Q130" s="38">
        <f>SUMPRODUCT(D50:D53,P14:P17)</f>
        <v>521.25303976194141</v>
      </c>
      <c r="R130" s="38">
        <f>+Q130-P130</f>
        <v>-126.19125378753063</v>
      </c>
      <c r="S130" s="40">
        <f>+D130*P130/1000</f>
        <v>15.123353197387443</v>
      </c>
      <c r="W130" s="38"/>
      <c r="Z130" s="40"/>
    </row>
    <row r="131" spans="1:29" x14ac:dyDescent="0.25">
      <c r="A131" s="33"/>
      <c r="C131" s="102"/>
      <c r="D131" s="102"/>
      <c r="E131" s="102"/>
      <c r="F131" s="103"/>
      <c r="G131" s="102"/>
      <c r="H131" s="102"/>
      <c r="J131" s="102"/>
      <c r="P131" s="38">
        <f>SUM(P129:P130)</f>
        <v>1142.8607857196876</v>
      </c>
      <c r="Q131" s="38">
        <f>SUM(Q129:Q130)</f>
        <v>1142.8607857196876</v>
      </c>
      <c r="R131" s="38"/>
      <c r="S131" s="39">
        <f>+S130+S129</f>
        <v>34.122442904910649</v>
      </c>
      <c r="T131" s="41">
        <f>+D110</f>
        <v>34.122442904910642</v>
      </c>
      <c r="W131" s="38"/>
      <c r="Z131" s="39"/>
      <c r="AC131" s="41"/>
    </row>
    <row r="132" spans="1:29" x14ac:dyDescent="0.25">
      <c r="A132" s="33"/>
      <c r="B132" s="34" t="s">
        <v>45</v>
      </c>
      <c r="C132" s="36">
        <f t="shared" ref="C132:J132" si="40">+C114/SUM(C45:C49,C54:C56)*1000</f>
        <v>33.029383407557802</v>
      </c>
      <c r="D132" s="36">
        <f t="shared" si="40"/>
        <v>33.251760125325838</v>
      </c>
      <c r="E132" s="36">
        <f t="shared" si="40"/>
        <v>32.824217480875539</v>
      </c>
      <c r="F132" s="36">
        <f t="shared" si="40"/>
        <v>31.817387049220851</v>
      </c>
      <c r="G132" s="36">
        <f t="shared" si="40"/>
        <v>32.85914964945573</v>
      </c>
      <c r="H132" s="36">
        <f t="shared" si="40"/>
        <v>31.683620204919258</v>
      </c>
      <c r="I132" s="36">
        <f>+I114/SUM(I45:I49,I54:I56)*1000</f>
        <v>30.668368754442216</v>
      </c>
      <c r="J132" s="36">
        <f t="shared" si="40"/>
        <v>32.169250882137625</v>
      </c>
      <c r="P132" s="38"/>
      <c r="Q132" s="38"/>
      <c r="R132" s="38"/>
      <c r="S132" s="39"/>
      <c r="T132" s="41"/>
      <c r="W132" s="38"/>
      <c r="Z132" s="39"/>
    </row>
    <row r="133" spans="1:29" x14ac:dyDescent="0.25">
      <c r="A133" s="33"/>
      <c r="B133" s="35" t="s">
        <v>153</v>
      </c>
      <c r="C133" s="102"/>
      <c r="D133" s="155">
        <f>+(D115*1000-R133*AVERAGE(D$97,D$98))/P133</f>
        <v>39.316720107759402</v>
      </c>
      <c r="E133" s="102"/>
      <c r="F133" s="103"/>
      <c r="G133" s="102"/>
      <c r="H133" s="102"/>
      <c r="J133" s="102"/>
      <c r="P133" s="38">
        <f>SUMPRODUCT(D45:D49,D27:D31)+SUMPRODUCT(D54:D56,D36:D38)</f>
        <v>713.33619471904569</v>
      </c>
      <c r="Q133" s="38">
        <f>SUMPRODUCT(D45:D49,D9:D13)+SUMPRODUCT(D54:D56,D18:D20)</f>
        <v>903.87657246225399</v>
      </c>
      <c r="R133" s="38">
        <f>+Q133-P133</f>
        <v>190.5403777432083</v>
      </c>
      <c r="S133" s="39">
        <f>+D133*P133/1000</f>
        <v>28.046039510502879</v>
      </c>
      <c r="T133" s="41"/>
      <c r="W133" s="38"/>
      <c r="Z133" s="39"/>
    </row>
    <row r="134" spans="1:29" ht="15" x14ac:dyDescent="0.4">
      <c r="A134" s="33"/>
      <c r="B134" s="35" t="s">
        <v>154</v>
      </c>
      <c r="C134" s="102"/>
      <c r="D134" s="155">
        <f>+(D116*1000-R134*AVERAGE(D$97,D$98))/P134</f>
        <v>29.328358993640659</v>
      </c>
      <c r="E134" s="102"/>
      <c r="F134" s="103"/>
      <c r="G134" s="102"/>
      <c r="H134" s="102"/>
      <c r="J134" s="102"/>
      <c r="P134" s="38">
        <f>SUMPRODUCT(D45:D49,P27:P31)+SUMPRODUCT(D54:D56,P36:P38)</f>
        <v>1102.7053644994478</v>
      </c>
      <c r="Q134" s="38">
        <f>SUMPRODUCT(D45:D49,P9:P13)+SUMPRODUCT(D54:D56,P18:P20)</f>
        <v>912.16498675623939</v>
      </c>
      <c r="R134" s="38">
        <f>+Q134-P134</f>
        <v>-190.54037774320841</v>
      </c>
      <c r="S134" s="40">
        <f>+D134*P134/1000</f>
        <v>32.340538794253185</v>
      </c>
      <c r="T134" s="41"/>
      <c r="W134" s="38"/>
      <c r="Z134" s="40"/>
    </row>
    <row r="135" spans="1:29" x14ac:dyDescent="0.25">
      <c r="A135" s="33"/>
      <c r="C135" s="102"/>
      <c r="D135" s="102"/>
      <c r="E135" s="102"/>
      <c r="F135" s="103"/>
      <c r="G135" s="102"/>
      <c r="H135" s="102"/>
      <c r="J135" s="102"/>
      <c r="P135" s="38">
        <f>SUM(P133:P134)</f>
        <v>1816.0415592184936</v>
      </c>
      <c r="Q135" s="38">
        <f>SUM(Q133:Q134)</f>
        <v>1816.0415592184934</v>
      </c>
      <c r="S135" s="39">
        <f>+S134+S133</f>
        <v>60.386578304756064</v>
      </c>
      <c r="T135" s="41">
        <f>+D114</f>
        <v>60.386578304756071</v>
      </c>
      <c r="Z135" s="39"/>
      <c r="AC135" s="41"/>
    </row>
    <row r="136" spans="1:29" x14ac:dyDescent="0.25">
      <c r="A136" s="33"/>
      <c r="B136" s="5" t="s">
        <v>151</v>
      </c>
      <c r="C136" s="15">
        <f t="shared" ref="C136:J136" si="41">(C128*SUM(C50:C53)+C132*SUM(C45:C49,C54:C56))/C57</f>
        <v>31.700628502011874</v>
      </c>
      <c r="D136" s="15">
        <f t="shared" si="41"/>
        <v>31.940567883676213</v>
      </c>
      <c r="E136" s="15">
        <f t="shared" si="41"/>
        <v>31.815507043391307</v>
      </c>
      <c r="F136" s="15">
        <f t="shared" si="41"/>
        <v>30.878677384503661</v>
      </c>
      <c r="G136" s="15">
        <f t="shared" si="41"/>
        <v>31.820993460061388</v>
      </c>
      <c r="H136" s="15">
        <f t="shared" si="41"/>
        <v>30.619709846776114</v>
      </c>
      <c r="I136" s="15">
        <f t="shared" si="41"/>
        <v>28.844723402951736</v>
      </c>
      <c r="J136" s="15">
        <f t="shared" si="41"/>
        <v>30.971069460332835</v>
      </c>
      <c r="P136" s="38"/>
      <c r="Q136" s="38"/>
    </row>
    <row r="137" spans="1:29" x14ac:dyDescent="0.25">
      <c r="A137" s="33"/>
      <c r="B137" s="5" t="s">
        <v>152</v>
      </c>
      <c r="C137" s="155">
        <f>+C120/SUM(C57:J57)*1000</f>
        <v>31.698373003073634</v>
      </c>
      <c r="D137" s="102"/>
      <c r="E137" s="102"/>
      <c r="F137" s="103"/>
      <c r="G137" s="102"/>
      <c r="H137" s="102"/>
      <c r="J137" s="102"/>
    </row>
    <row r="138" spans="1:29" x14ac:dyDescent="0.25">
      <c r="A138" s="33"/>
      <c r="C138" s="102"/>
      <c r="D138" s="102"/>
      <c r="E138" s="102"/>
      <c r="F138" s="103"/>
      <c r="G138" s="102"/>
      <c r="H138" s="102"/>
      <c r="J138" s="102"/>
    </row>
    <row r="139" spans="1:29" x14ac:dyDescent="0.25">
      <c r="A139" s="33"/>
      <c r="C139" s="102"/>
      <c r="D139" s="102"/>
      <c r="E139" s="102"/>
      <c r="F139" s="103"/>
      <c r="G139" s="102"/>
      <c r="H139" s="102"/>
      <c r="J139" s="102"/>
    </row>
    <row r="140" spans="1:29" x14ac:dyDescent="0.25">
      <c r="A140" s="32" t="s">
        <v>85</v>
      </c>
      <c r="B140" s="3" t="s">
        <v>49</v>
      </c>
    </row>
    <row r="141" spans="1:29" x14ac:dyDescent="0.25">
      <c r="A141" s="33"/>
      <c r="B141" s="4" t="s">
        <v>276</v>
      </c>
    </row>
    <row r="142" spans="1:29" x14ac:dyDescent="0.25">
      <c r="A142" s="33"/>
      <c r="B142" s="4" t="s">
        <v>50</v>
      </c>
      <c r="C142" s="50" t="s">
        <v>5</v>
      </c>
      <c r="D142" s="50" t="s">
        <v>139</v>
      </c>
      <c r="E142" s="50" t="s">
        <v>6</v>
      </c>
      <c r="F142" s="50" t="s">
        <v>7</v>
      </c>
      <c r="G142" s="50" t="s">
        <v>8</v>
      </c>
      <c r="H142" s="50" t="s">
        <v>9</v>
      </c>
      <c r="I142" s="50" t="s">
        <v>10</v>
      </c>
      <c r="J142" s="50" t="s">
        <v>11</v>
      </c>
      <c r="K142" s="50" t="s">
        <v>29</v>
      </c>
      <c r="L142" s="28"/>
    </row>
    <row r="143" spans="1:29" x14ac:dyDescent="0.25">
      <c r="A143" s="33"/>
    </row>
    <row r="144" spans="1:29" x14ac:dyDescent="0.25">
      <c r="A144" s="33"/>
      <c r="B144" s="5" t="s">
        <v>51</v>
      </c>
      <c r="C144" s="122">
        <v>1231.8794056000004</v>
      </c>
      <c r="D144" s="122">
        <v>0.61488180000000003</v>
      </c>
      <c r="E144" s="122">
        <v>231.05628000000007</v>
      </c>
      <c r="F144" s="122">
        <v>4.007835</v>
      </c>
      <c r="G144" s="122">
        <v>187.51746000000003</v>
      </c>
      <c r="H144" s="122">
        <v>8.0072850000000013</v>
      </c>
      <c r="I144" s="122">
        <v>0</v>
      </c>
      <c r="J144" s="122">
        <v>1.0492299999999997</v>
      </c>
      <c r="K144" s="122">
        <f>SUM(C144:J144)</f>
        <v>1664.1323774000005</v>
      </c>
      <c r="L144" s="122"/>
    </row>
    <row r="145" spans="1:19" x14ac:dyDescent="0.25">
      <c r="A145" s="33"/>
      <c r="B145" s="5" t="s">
        <v>52</v>
      </c>
      <c r="C145" s="167">
        <v>1360.6972301829633</v>
      </c>
      <c r="D145" s="167">
        <v>0.67918008722810541</v>
      </c>
      <c r="E145" s="167">
        <v>255.21787180072914</v>
      </c>
      <c r="F145" s="167">
        <v>4.4269349408225347</v>
      </c>
      <c r="G145" s="167">
        <v>207.12619049643811</v>
      </c>
      <c r="H145" s="167">
        <v>8.8446080608668218</v>
      </c>
      <c r="I145" s="167">
        <v>0</v>
      </c>
      <c r="J145" s="167">
        <v>1.1589481473062704</v>
      </c>
      <c r="K145" s="167">
        <f>SUM(C145:J145)</f>
        <v>1838.1509637163545</v>
      </c>
      <c r="L145" s="123"/>
    </row>
    <row r="146" spans="1:19" x14ac:dyDescent="0.25">
      <c r="A146" s="33"/>
    </row>
    <row r="147" spans="1:19" x14ac:dyDescent="0.25">
      <c r="A147" s="33"/>
      <c r="B147" s="5" t="s">
        <v>53</v>
      </c>
      <c r="C147" s="167">
        <v>1430.7910401999998</v>
      </c>
      <c r="D147" s="167">
        <v>0.7178692000000001</v>
      </c>
      <c r="E147" s="167">
        <v>231.10425000000004</v>
      </c>
      <c r="F147" s="167">
        <v>3.8190749999999998</v>
      </c>
      <c r="G147" s="167">
        <v>188.94739500000003</v>
      </c>
      <c r="H147" s="167">
        <v>7.9307150000000002</v>
      </c>
      <c r="I147" s="167">
        <v>0</v>
      </c>
      <c r="J147" s="167">
        <v>1.072695</v>
      </c>
      <c r="K147" s="167">
        <f>SUM(C147:J147)</f>
        <v>1864.3830393999999</v>
      </c>
      <c r="L147" s="122"/>
      <c r="M147" s="41"/>
      <c r="N147" s="41"/>
    </row>
    <row r="148" spans="1:19" x14ac:dyDescent="0.25">
      <c r="C148" s="122"/>
      <c r="D148" s="122"/>
      <c r="E148" s="122"/>
      <c r="F148" s="122"/>
      <c r="G148" s="122"/>
      <c r="H148" s="122"/>
      <c r="I148" s="122"/>
      <c r="K148" s="123"/>
      <c r="M148" s="123"/>
      <c r="N148" s="38"/>
    </row>
    <row r="149" spans="1:19" x14ac:dyDescent="0.25">
      <c r="B149" s="5" t="s">
        <v>54</v>
      </c>
      <c r="L149" s="28"/>
      <c r="M149" s="124"/>
      <c r="N149" s="124"/>
    </row>
    <row r="150" spans="1:19" x14ac:dyDescent="0.25">
      <c r="E150" s="7" t="s">
        <v>55</v>
      </c>
      <c r="F150" s="43">
        <f>30+31+31+30</f>
        <v>122</v>
      </c>
      <c r="H150" s="7" t="s">
        <v>56</v>
      </c>
      <c r="I150" s="43">
        <v>4</v>
      </c>
      <c r="K150" s="125"/>
    </row>
    <row r="151" spans="1:19" x14ac:dyDescent="0.25">
      <c r="E151" s="126" t="s">
        <v>57</v>
      </c>
      <c r="F151" s="43">
        <v>243</v>
      </c>
      <c r="H151" s="126" t="s">
        <v>58</v>
      </c>
      <c r="I151" s="43">
        <v>8</v>
      </c>
      <c r="K151" s="127"/>
      <c r="L151" s="6"/>
    </row>
    <row r="152" spans="1:19" x14ac:dyDescent="0.25">
      <c r="H152" s="7" t="s">
        <v>59</v>
      </c>
      <c r="I152" s="5">
        <f>+I150+I151</f>
        <v>12</v>
      </c>
      <c r="K152" s="127"/>
      <c r="L152" s="6"/>
      <c r="M152" s="41"/>
    </row>
    <row r="153" spans="1:19" x14ac:dyDescent="0.25">
      <c r="A153" s="33"/>
      <c r="B153" s="5" t="s">
        <v>60</v>
      </c>
      <c r="E153" s="78">
        <v>48426.859643402662</v>
      </c>
      <c r="F153" s="105" t="s">
        <v>61</v>
      </c>
      <c r="L153" s="128"/>
    </row>
    <row r="154" spans="1:19" x14ac:dyDescent="0.25">
      <c r="A154" s="33"/>
      <c r="F154" s="105"/>
    </row>
    <row r="155" spans="1:19" ht="26.4" x14ac:dyDescent="0.25">
      <c r="A155" s="33"/>
      <c r="B155" s="5" t="s">
        <v>62</v>
      </c>
      <c r="D155" s="176" t="s">
        <v>241</v>
      </c>
      <c r="E155" s="176" t="s">
        <v>242</v>
      </c>
      <c r="F155" s="5" t="s">
        <v>240</v>
      </c>
      <c r="Q155" s="7"/>
      <c r="R155" s="7"/>
      <c r="S155" s="106"/>
    </row>
    <row r="156" spans="1:19" x14ac:dyDescent="0.25">
      <c r="A156" s="33"/>
      <c r="C156" s="5" t="s">
        <v>63</v>
      </c>
      <c r="D156" s="177">
        <v>169.65188580980973</v>
      </c>
      <c r="E156" s="155">
        <f>(SUM('auction results and rates'!C11:C11)/SUM('auction results and rates'!C11:E11))*'June 18 - May 19'!D162</f>
        <v>0</v>
      </c>
      <c r="F156" s="177">
        <f>D156+E156</f>
        <v>169.65188580980973</v>
      </c>
      <c r="G156" s="105" t="s">
        <v>64</v>
      </c>
      <c r="I156" s="7" t="s">
        <v>65</v>
      </c>
      <c r="J156" s="41">
        <f>$K$145*$F156*$F150</f>
        <v>38045184.842507035</v>
      </c>
      <c r="K156" s="7"/>
      <c r="L156" s="106"/>
      <c r="M156" s="102"/>
    </row>
    <row r="157" spans="1:19" x14ac:dyDescent="0.25">
      <c r="A157" s="33"/>
      <c r="C157" s="5" t="s">
        <v>66</v>
      </c>
      <c r="D157" s="177">
        <f>+D156</f>
        <v>169.65188580980973</v>
      </c>
      <c r="E157" s="155">
        <f>E156</f>
        <v>0</v>
      </c>
      <c r="F157" s="177">
        <f>D157+E157</f>
        <v>169.65188580980973</v>
      </c>
      <c r="G157" s="105" t="s">
        <v>64</v>
      </c>
      <c r="I157" s="129" t="s">
        <v>67</v>
      </c>
      <c r="J157" s="156">
        <f>$K$145*$F157*$F151</f>
        <v>75778523.907616481</v>
      </c>
      <c r="K157" s="7"/>
      <c r="L157" s="106"/>
    </row>
    <row r="158" spans="1:19" x14ac:dyDescent="0.25">
      <c r="A158" s="33"/>
      <c r="F158" s="130"/>
      <c r="G158" s="105"/>
      <c r="I158" s="7" t="s">
        <v>68</v>
      </c>
      <c r="J158" s="41">
        <f>SUM(J156:J157)</f>
        <v>113823708.75012352</v>
      </c>
      <c r="K158" s="7"/>
      <c r="L158" s="106"/>
    </row>
    <row r="159" spans="1:19" x14ac:dyDescent="0.25">
      <c r="A159" s="33"/>
      <c r="E159" s="155"/>
      <c r="F159" s="130"/>
      <c r="G159" s="105"/>
      <c r="I159" s="7"/>
      <c r="J159" s="41"/>
      <c r="K159" s="7"/>
      <c r="L159" s="106"/>
    </row>
    <row r="160" spans="1:19" x14ac:dyDescent="0.25">
      <c r="A160" s="33"/>
      <c r="B160" s="138" t="s">
        <v>277</v>
      </c>
      <c r="D160" s="185"/>
      <c r="F160" s="130"/>
      <c r="G160" s="105"/>
      <c r="I160" s="7"/>
      <c r="J160" s="41"/>
      <c r="K160" s="7"/>
      <c r="L160" s="106"/>
    </row>
    <row r="161" spans="1:12" x14ac:dyDescent="0.25">
      <c r="A161" s="33"/>
      <c r="B161" s="182" t="s">
        <v>278</v>
      </c>
      <c r="D161" s="186"/>
      <c r="F161" s="130"/>
      <c r="G161" s="105"/>
      <c r="I161" s="7"/>
      <c r="J161" s="41"/>
      <c r="K161" s="7"/>
      <c r="L161" s="106"/>
    </row>
    <row r="162" spans="1:12" x14ac:dyDescent="0.25">
      <c r="A162" s="33"/>
      <c r="B162" s="5" t="s">
        <v>253</v>
      </c>
      <c r="D162" s="155">
        <f>D160-D161</f>
        <v>0</v>
      </c>
      <c r="E162" s="138" t="s">
        <v>279</v>
      </c>
      <c r="F162" s="130"/>
      <c r="G162" s="105"/>
      <c r="I162" s="7"/>
      <c r="J162" s="41"/>
      <c r="K162" s="7"/>
      <c r="L162" s="106"/>
    </row>
    <row r="163" spans="1:12" x14ac:dyDescent="0.25">
      <c r="A163" s="33"/>
      <c r="J163" s="7"/>
      <c r="K163" s="7"/>
      <c r="L163" s="106"/>
    </row>
    <row r="164" spans="1:12" x14ac:dyDescent="0.25">
      <c r="A164" s="33"/>
      <c r="B164" s="4" t="s">
        <v>69</v>
      </c>
      <c r="J164" s="7"/>
      <c r="K164" s="7"/>
      <c r="L164" s="106"/>
    </row>
    <row r="165" spans="1:12" x14ac:dyDescent="0.25">
      <c r="A165" s="33"/>
      <c r="B165" s="4"/>
      <c r="C165" s="8" t="str">
        <f>" ---------- Rate "&amp;C142&amp;" ----------"</f>
        <v xml:space="preserve"> ---------- Rate RS ----------</v>
      </c>
      <c r="D165" s="8"/>
      <c r="E165" s="9"/>
      <c r="F165" s="9"/>
      <c r="J165" s="7"/>
      <c r="K165" s="7"/>
      <c r="L165" s="106"/>
    </row>
    <row r="166" spans="1:12" x14ac:dyDescent="0.25">
      <c r="A166" s="33"/>
      <c r="C166" s="10" t="s">
        <v>70</v>
      </c>
      <c r="D166" s="10"/>
      <c r="F166" s="10" t="s">
        <v>71</v>
      </c>
      <c r="H166" s="5" t="s">
        <v>72</v>
      </c>
      <c r="J166" s="192">
        <v>1190352866.2704644</v>
      </c>
      <c r="K166" s="7"/>
      <c r="L166" s="106"/>
    </row>
    <row r="167" spans="1:12" x14ac:dyDescent="0.25">
      <c r="A167" s="33"/>
      <c r="B167" s="7" t="s">
        <v>73</v>
      </c>
      <c r="C167" s="11">
        <v>5.4802</v>
      </c>
      <c r="D167" s="11"/>
      <c r="E167" s="12"/>
      <c r="F167" s="157">
        <f>J166/($J$166+$J$167)</f>
        <v>0.58280676437775425</v>
      </c>
      <c r="H167" s="5" t="s">
        <v>76</v>
      </c>
      <c r="J167" s="192">
        <v>852095744.53344321</v>
      </c>
      <c r="K167" s="7"/>
      <c r="L167" s="106"/>
    </row>
    <row r="168" spans="1:12" x14ac:dyDescent="0.25">
      <c r="A168" s="33"/>
      <c r="B168" s="7" t="s">
        <v>74</v>
      </c>
      <c r="C168" s="13">
        <v>6.3453999999999997</v>
      </c>
      <c r="D168" s="13"/>
      <c r="E168" s="12"/>
      <c r="F168" s="157">
        <f>1-F167</f>
        <v>0.41719323562224575</v>
      </c>
      <c r="J168" s="166"/>
      <c r="K168" s="7"/>
      <c r="L168" s="106"/>
    </row>
    <row r="169" spans="1:12" x14ac:dyDescent="0.25">
      <c r="A169" s="33"/>
      <c r="B169" s="14" t="s">
        <v>75</v>
      </c>
      <c r="C169" s="11">
        <f>C168-C167</f>
        <v>0.86519999999999975</v>
      </c>
      <c r="D169" s="11"/>
      <c r="E169" s="12"/>
      <c r="F169" s="12"/>
      <c r="G169" s="105"/>
      <c r="H169" s="138" t="s">
        <v>258</v>
      </c>
      <c r="J169" s="193">
        <v>2106837177.1960924</v>
      </c>
    </row>
    <row r="170" spans="1:12" x14ac:dyDescent="0.25">
      <c r="A170" s="33"/>
      <c r="B170" s="14"/>
      <c r="C170" s="11"/>
      <c r="D170" s="11"/>
      <c r="E170" s="12"/>
      <c r="F170" s="12"/>
      <c r="G170" s="105"/>
      <c r="J170" s="166">
        <f>SUM(J166:J169)</f>
        <v>4149285788</v>
      </c>
    </row>
    <row r="171" spans="1:12" x14ac:dyDescent="0.25">
      <c r="A171" s="33"/>
      <c r="B171" s="14"/>
      <c r="C171" s="11"/>
      <c r="D171" s="11"/>
      <c r="E171" s="12"/>
      <c r="F171" s="12"/>
      <c r="G171" s="105"/>
    </row>
    <row r="172" spans="1:12" x14ac:dyDescent="0.25">
      <c r="A172" s="32" t="s">
        <v>90</v>
      </c>
      <c r="B172" s="3" t="s">
        <v>259</v>
      </c>
      <c r="G172" s="105"/>
      <c r="J172" s="131"/>
    </row>
    <row r="173" spans="1:12" x14ac:dyDescent="0.25">
      <c r="A173" s="33"/>
      <c r="B173" s="17" t="s">
        <v>260</v>
      </c>
      <c r="E173" s="6">
        <v>2</v>
      </c>
      <c r="G173" s="105"/>
    </row>
    <row r="174" spans="1:12" x14ac:dyDescent="0.25">
      <c r="A174" s="33"/>
      <c r="B174" s="17" t="s">
        <v>261</v>
      </c>
      <c r="E174" s="183">
        <v>6.96</v>
      </c>
      <c r="G174" s="105"/>
    </row>
    <row r="175" spans="1:12" x14ac:dyDescent="0.25">
      <c r="A175" s="33"/>
      <c r="B175" s="20" t="s">
        <v>262</v>
      </c>
      <c r="E175" s="187">
        <f>E173+E174</f>
        <v>8.9600000000000009</v>
      </c>
      <c r="G175" s="105"/>
    </row>
    <row r="176" spans="1:12" x14ac:dyDescent="0.25">
      <c r="A176" s="33"/>
      <c r="B176" s="17"/>
      <c r="E176" s="6"/>
      <c r="G176" s="105"/>
    </row>
    <row r="177" spans="1:13" x14ac:dyDescent="0.25">
      <c r="A177" s="33"/>
      <c r="B177" s="3"/>
      <c r="F177" s="78"/>
      <c r="G177" s="105"/>
    </row>
    <row r="178" spans="1:13" x14ac:dyDescent="0.25">
      <c r="A178" s="32" t="s">
        <v>95</v>
      </c>
      <c r="B178" s="3" t="s">
        <v>79</v>
      </c>
    </row>
    <row r="179" spans="1:13" x14ac:dyDescent="0.25">
      <c r="A179" s="32"/>
      <c r="B179" s="3"/>
      <c r="C179" s="50" t="s">
        <v>5</v>
      </c>
      <c r="D179" s="50" t="s">
        <v>139</v>
      </c>
      <c r="E179" s="50" t="s">
        <v>6</v>
      </c>
      <c r="F179" s="50" t="s">
        <v>7</v>
      </c>
      <c r="G179" s="50" t="s">
        <v>8</v>
      </c>
      <c r="H179" s="50" t="s">
        <v>9</v>
      </c>
      <c r="I179" s="50" t="s">
        <v>10</v>
      </c>
      <c r="J179" s="50" t="s">
        <v>11</v>
      </c>
      <c r="K179" s="50" t="s">
        <v>29</v>
      </c>
    </row>
    <row r="180" spans="1:13" x14ac:dyDescent="0.25">
      <c r="A180" s="33"/>
      <c r="B180" s="7" t="s">
        <v>80</v>
      </c>
      <c r="C180" s="107">
        <f t="shared" ref="C180:J180" si="42">(+$E$153*C147)/C57</f>
        <v>18.287807114987547</v>
      </c>
      <c r="D180" s="107">
        <f>(+$E$153*D147)/SUMPRODUCT(D27:D38,D45:D56)</f>
        <v>28.760350539685412</v>
      </c>
      <c r="E180" s="107">
        <f t="shared" si="42"/>
        <v>15.228959752276824</v>
      </c>
      <c r="F180" s="107">
        <f t="shared" si="42"/>
        <v>20.08925255553282</v>
      </c>
      <c r="G180" s="107">
        <f t="shared" si="42"/>
        <v>10.648138323141206</v>
      </c>
      <c r="H180" s="107">
        <f>(+$E$153*H147)/H57</f>
        <v>7.6847090358486838</v>
      </c>
      <c r="I180" s="107">
        <f>(+$E$153*I147)/I57</f>
        <v>0</v>
      </c>
      <c r="J180" s="107">
        <f t="shared" si="42"/>
        <v>6.4098538628662824</v>
      </c>
      <c r="K180" s="107">
        <f>(+$E$153*K147)/K57</f>
        <v>16.415722740102353</v>
      </c>
      <c r="L180" s="107"/>
      <c r="M180" s="108"/>
    </row>
    <row r="181" spans="1:13" x14ac:dyDescent="0.25">
      <c r="A181" s="33"/>
      <c r="B181" s="7"/>
      <c r="C181" s="107"/>
      <c r="D181" s="107"/>
      <c r="E181" s="107"/>
      <c r="F181" s="107"/>
      <c r="H181" s="107"/>
      <c r="I181" s="107"/>
      <c r="J181" s="107"/>
      <c r="K181" s="107"/>
      <c r="L181" s="107"/>
      <c r="M181" s="108"/>
    </row>
    <row r="182" spans="1:13" x14ac:dyDescent="0.25">
      <c r="A182" s="33"/>
      <c r="B182" s="7" t="s">
        <v>81</v>
      </c>
      <c r="C182" s="107"/>
      <c r="D182" s="107"/>
      <c r="E182" s="107"/>
      <c r="F182" s="107"/>
      <c r="H182" s="107"/>
      <c r="I182" s="107"/>
      <c r="J182" s="107"/>
      <c r="K182" s="107"/>
      <c r="L182" s="107"/>
    </row>
    <row r="183" spans="1:13" x14ac:dyDescent="0.25">
      <c r="B183" s="7" t="s">
        <v>82</v>
      </c>
      <c r="C183" s="107">
        <f t="shared" ref="C183:J183" si="43">($J$158*(C$145/$K$145))/C57</f>
        <v>22.238842047193792</v>
      </c>
      <c r="D183" s="107">
        <f>($J$158*(D$145/$K$145))/SUMPRODUCT(D27:D38,D45:D56)</f>
        <v>34.793574488943804</v>
      </c>
      <c r="E183" s="107">
        <f t="shared" si="43"/>
        <v>21.504959968752146</v>
      </c>
      <c r="F183" s="107">
        <f t="shared" si="43"/>
        <v>29.776522720132867</v>
      </c>
      <c r="G183" s="107">
        <f t="shared" si="43"/>
        <v>14.925642733180768</v>
      </c>
      <c r="H183" s="107">
        <f t="shared" si="43"/>
        <v>10.958697187337105</v>
      </c>
      <c r="I183" s="107">
        <f t="shared" si="43"/>
        <v>0</v>
      </c>
      <c r="J183" s="107">
        <f t="shared" si="43"/>
        <v>8.8552561115378126</v>
      </c>
      <c r="K183" s="107"/>
      <c r="L183" s="107"/>
    </row>
    <row r="184" spans="1:13" x14ac:dyDescent="0.25">
      <c r="A184" s="33"/>
      <c r="B184" s="7" t="s">
        <v>83</v>
      </c>
      <c r="C184" s="107">
        <f>($J$156*(C$145/$K$145))/SUM(C50:C53)</f>
        <v>17.724678438243039</v>
      </c>
      <c r="D184" s="107">
        <f>($J$156*(D$145/$K$145))/SUMPRODUCT(D50:D53,D32:D35)</f>
        <v>28.374812909340729</v>
      </c>
      <c r="E184" s="107">
        <f t="shared" ref="E184:J184" si="44">($J$156*(E$145/$K$145))/SUM(E50:E53)</f>
        <v>18.3686575479582</v>
      </c>
      <c r="F184" s="107">
        <f>($J$156*(F$145/$K$145))/SUM(F50:F53)</f>
        <v>31.016252102588631</v>
      </c>
      <c r="G184" s="107">
        <f t="shared" si="44"/>
        <v>12.80148052197989</v>
      </c>
      <c r="H184" s="107">
        <f t="shared" si="44"/>
        <v>9.5313704224234481</v>
      </c>
      <c r="I184" s="107">
        <f t="shared" si="44"/>
        <v>0</v>
      </c>
      <c r="J184" s="107">
        <f t="shared" si="44"/>
        <v>7.539272172036684</v>
      </c>
      <c r="K184" s="107"/>
      <c r="L184" s="107"/>
    </row>
    <row r="185" spans="1:13" x14ac:dyDescent="0.25">
      <c r="A185" s="33"/>
      <c r="B185" s="7" t="s">
        <v>84</v>
      </c>
      <c r="C185" s="107">
        <f>($J$157*(C$145/$K$145))/SUM(C45:C49,C54:C56)</f>
        <v>25.499318439502126</v>
      </c>
      <c r="D185" s="107">
        <f>($J$157*(D$145/$K$145))/(SUMPRODUCT(D45:D49,D27:D31)+SUMPRODUCT(D54:D56,D36:D38))</f>
        <v>39.251444942435057</v>
      </c>
      <c r="E185" s="107">
        <f t="shared" ref="E185:J185" si="45">($J$157*(E$145/$K$145))/SUM(E45:E49,E54:E56)</f>
        <v>23.521257453356881</v>
      </c>
      <c r="F185" s="107">
        <f t="shared" si="45"/>
        <v>29.190740420721305</v>
      </c>
      <c r="G185" s="107">
        <f t="shared" si="45"/>
        <v>16.282050041133072</v>
      </c>
      <c r="H185" s="107">
        <f t="shared" si="45"/>
        <v>11.849588862710787</v>
      </c>
      <c r="I185" s="107">
        <f t="shared" si="45"/>
        <v>0</v>
      </c>
      <c r="J185" s="107">
        <f t="shared" si="45"/>
        <v>9.7058200359679763</v>
      </c>
      <c r="K185" s="107"/>
      <c r="L185" s="107"/>
    </row>
    <row r="186" spans="1:13" x14ac:dyDescent="0.25">
      <c r="A186" s="33"/>
      <c r="F186" s="107"/>
      <c r="G186" s="107"/>
      <c r="H186" s="107"/>
      <c r="I186" s="107"/>
      <c r="K186" s="107"/>
      <c r="L186" s="107"/>
    </row>
    <row r="187" spans="1:13" x14ac:dyDescent="0.25">
      <c r="D187" s="107"/>
    </row>
    <row r="188" spans="1:13" x14ac:dyDescent="0.25">
      <c r="A188" s="32" t="s">
        <v>99</v>
      </c>
      <c r="B188" s="3" t="s">
        <v>86</v>
      </c>
      <c r="D188" s="107"/>
    </row>
    <row r="189" spans="1:13" x14ac:dyDescent="0.25">
      <c r="A189" s="33"/>
      <c r="B189" s="4" t="s">
        <v>264</v>
      </c>
    </row>
    <row r="190" spans="1:13" x14ac:dyDescent="0.25">
      <c r="A190" s="33"/>
      <c r="B190" s="4" t="s">
        <v>35</v>
      </c>
    </row>
    <row r="191" spans="1:13" x14ac:dyDescent="0.25">
      <c r="A191" s="33"/>
      <c r="C191" s="50" t="s">
        <v>5</v>
      </c>
      <c r="D191" s="50" t="s">
        <v>139</v>
      </c>
      <c r="E191" s="50" t="s">
        <v>6</v>
      </c>
      <c r="F191" s="50" t="s">
        <v>7</v>
      </c>
      <c r="G191" s="50" t="s">
        <v>8</v>
      </c>
      <c r="H191" s="50" t="s">
        <v>9</v>
      </c>
      <c r="I191" s="50" t="s">
        <v>10</v>
      </c>
      <c r="J191" s="50" t="s">
        <v>11</v>
      </c>
    </row>
    <row r="192" spans="1:13" x14ac:dyDescent="0.25">
      <c r="A192" s="33"/>
      <c r="C192" s="28"/>
      <c r="D192" s="28"/>
      <c r="E192" s="28"/>
      <c r="F192" s="28"/>
      <c r="H192" s="28"/>
    </row>
    <row r="193" spans="1:10" x14ac:dyDescent="0.25">
      <c r="A193" s="33"/>
      <c r="B193" s="34" t="s">
        <v>44</v>
      </c>
      <c r="C193" s="15">
        <f>+C128+($E$175*C$80)+C$180+C184</f>
        <v>75.514975586476481</v>
      </c>
      <c r="D193" s="15">
        <f t="shared" ref="D193:J193" si="46">+D128+($E$175*D$80)+D$180+D184</f>
        <v>96.633742393326713</v>
      </c>
      <c r="E193" s="15">
        <f t="shared" si="46"/>
        <v>73.485636001801282</v>
      </c>
      <c r="F193" s="15">
        <f t="shared" si="46"/>
        <v>89.386754998331099</v>
      </c>
      <c r="G193" s="15">
        <f t="shared" si="46"/>
        <v>63.286374573290658</v>
      </c>
      <c r="H193" s="15">
        <f t="shared" si="46"/>
        <v>55.520489233309185</v>
      </c>
      <c r="I193" s="15">
        <f t="shared" si="46"/>
        <v>34.718147573647457</v>
      </c>
      <c r="J193" s="15">
        <f t="shared" si="46"/>
        <v>52.707917835944734</v>
      </c>
    </row>
    <row r="194" spans="1:10" x14ac:dyDescent="0.25">
      <c r="A194" s="33"/>
      <c r="B194" s="35" t="s">
        <v>162</v>
      </c>
      <c r="C194" s="15"/>
      <c r="D194" s="15">
        <f>D$129+(E$175*D$80)+D$180+D$184</f>
        <v>105.12643202990597</v>
      </c>
      <c r="E194" s="15"/>
      <c r="F194" s="15"/>
      <c r="G194" s="15"/>
      <c r="H194" s="15"/>
      <c r="I194" s="15"/>
      <c r="J194" s="15"/>
    </row>
    <row r="195" spans="1:10" x14ac:dyDescent="0.25">
      <c r="A195" s="33"/>
      <c r="B195" s="35" t="s">
        <v>163</v>
      </c>
      <c r="C195" s="15"/>
      <c r="D195" s="15">
        <f>D$130+(E$175*D$80)</f>
        <v>33.000076214778957</v>
      </c>
      <c r="E195" s="15"/>
      <c r="F195" s="15"/>
      <c r="G195" s="15"/>
      <c r="H195" s="15"/>
      <c r="I195" s="15"/>
      <c r="J195" s="15"/>
    </row>
    <row r="196" spans="1:10" x14ac:dyDescent="0.25">
      <c r="A196" s="33"/>
      <c r="B196" s="7" t="s">
        <v>73</v>
      </c>
      <c r="C196" s="15">
        <f>(C193*SUM(C50:C53)-$C$169*10*$F$168*SUM(C50:C53))/SUM(C50:C53)</f>
        <v>71.90541971187281</v>
      </c>
      <c r="D196" s="15"/>
      <c r="E196" s="15"/>
      <c r="F196" s="15"/>
      <c r="G196" s="15"/>
      <c r="H196" s="15"/>
      <c r="I196" s="15"/>
      <c r="J196" s="15"/>
    </row>
    <row r="197" spans="1:10" x14ac:dyDescent="0.25">
      <c r="A197" s="33"/>
      <c r="B197" s="7" t="s">
        <v>74</v>
      </c>
      <c r="C197" s="15">
        <f>+C196+$C$169*10</f>
        <v>80.557419711872811</v>
      </c>
      <c r="D197" s="15"/>
      <c r="E197" s="15"/>
      <c r="F197" s="15"/>
      <c r="G197" s="15"/>
      <c r="H197" s="15"/>
      <c r="I197" s="15"/>
      <c r="J197" s="15"/>
    </row>
    <row r="198" spans="1:10" x14ac:dyDescent="0.25">
      <c r="A198" s="33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5">
      <c r="A199" s="33"/>
      <c r="B199" s="34" t="s">
        <v>45</v>
      </c>
      <c r="C199" s="15">
        <f t="shared" ref="C199:J199" si="47">+C132+($E$175*C$80)+C$180+C185</f>
        <v>86.4580455340149</v>
      </c>
      <c r="D199" s="15">
        <f t="shared" si="47"/>
        <v>110.90509217941374</v>
      </c>
      <c r="E199" s="15">
        <f t="shared" si="47"/>
        <v>81.215971258476685</v>
      </c>
      <c r="F199" s="15">
        <f t="shared" si="47"/>
        <v>90.486605623492153</v>
      </c>
      <c r="G199" s="15">
        <f t="shared" si="47"/>
        <v>69.430874585697438</v>
      </c>
      <c r="H199" s="15">
        <f t="shared" si="47"/>
        <v>60.6071437014959</v>
      </c>
      <c r="I199" s="15">
        <f t="shared" si="47"/>
        <v>40.309905326409648</v>
      </c>
      <c r="J199" s="15">
        <f t="shared" si="47"/>
        <v>57.92646135293932</v>
      </c>
    </row>
    <row r="200" spans="1:10" x14ac:dyDescent="0.25">
      <c r="A200" s="33"/>
      <c r="B200" s="35" t="s">
        <v>162</v>
      </c>
      <c r="C200" s="15"/>
      <c r="D200" s="15">
        <f>D$133+($E$175*D$80)+$D$180+D185</f>
        <v>116.97005216184731</v>
      </c>
      <c r="E200" s="15"/>
      <c r="F200" s="15"/>
      <c r="G200" s="15"/>
      <c r="H200" s="15"/>
      <c r="I200" s="15"/>
      <c r="J200" s="15"/>
    </row>
    <row r="201" spans="1:10" x14ac:dyDescent="0.25">
      <c r="A201" s="33"/>
      <c r="B201" s="35" t="s">
        <v>163</v>
      </c>
      <c r="C201" s="15"/>
      <c r="D201" s="15">
        <f>D$134+($E$175*D$80)</f>
        <v>38.969895565608098</v>
      </c>
      <c r="E201" s="15"/>
      <c r="F201" s="15"/>
      <c r="G201" s="15"/>
      <c r="H201" s="15"/>
      <c r="I201" s="15"/>
      <c r="J201" s="15"/>
    </row>
    <row r="202" spans="1:10" x14ac:dyDescent="0.25">
      <c r="A202" s="33"/>
      <c r="C202" s="15"/>
      <c r="D202" s="15"/>
      <c r="E202" s="15"/>
      <c r="F202" s="15"/>
      <c r="G202" s="15"/>
      <c r="H202" s="15"/>
      <c r="I202" s="15"/>
      <c r="J202" s="15"/>
    </row>
    <row r="203" spans="1:10" x14ac:dyDescent="0.25">
      <c r="A203" s="33"/>
      <c r="B203" s="5" t="s">
        <v>46</v>
      </c>
      <c r="C203" s="15">
        <f t="shared" ref="C203:J203" si="48">+C136+($E$175*C$80)+C$180+C183</f>
        <v>81.868814236160659</v>
      </c>
      <c r="D203" s="15">
        <f>((D194*SUMPRODUCT(D32:D35,D50:D53)+D195*SUMPRODUCT(P32:P35,D50:D53))+(D200*(SUMPRODUCT(D27:D31,D45:D49)+SUMPRODUCT(D36:D38,D54:D56))+D201*(SUMPRODUCT(P27:P31,D45:D49)+SUMPRODUCT(P36:P38,D54:D56))))/D57</f>
        <v>67.544765160594778</v>
      </c>
      <c r="E203" s="15">
        <f t="shared" si="48"/>
        <v>78.190963336387711</v>
      </c>
      <c r="F203" s="15">
        <f t="shared" si="48"/>
        <v>90.133678258186507</v>
      </c>
      <c r="G203" s="15">
        <f t="shared" si="48"/>
        <v>67.0363110883508</v>
      </c>
      <c r="H203" s="15">
        <f t="shared" si="48"/>
        <v>58.652341667979073</v>
      </c>
      <c r="I203" s="15">
        <f t="shared" si="48"/>
        <v>38.486259974919172</v>
      </c>
      <c r="J203" s="15">
        <f t="shared" si="48"/>
        <v>55.877716006704368</v>
      </c>
    </row>
    <row r="204" spans="1:10" x14ac:dyDescent="0.25">
      <c r="A204" s="33"/>
      <c r="B204" s="35"/>
      <c r="C204" s="15"/>
      <c r="D204" s="15"/>
      <c r="E204" s="15"/>
      <c r="F204" s="15"/>
      <c r="G204" s="15"/>
      <c r="H204" s="15"/>
      <c r="I204" s="15"/>
      <c r="J204" s="15"/>
    </row>
    <row r="205" spans="1:10" x14ac:dyDescent="0.25">
      <c r="A205" s="33"/>
      <c r="B205" s="35"/>
      <c r="C205" s="15"/>
      <c r="D205" s="15"/>
      <c r="E205" s="15"/>
      <c r="F205" s="15"/>
      <c r="G205" s="15"/>
      <c r="H205" s="15"/>
      <c r="I205" s="15"/>
      <c r="J205" s="15"/>
    </row>
    <row r="206" spans="1:10" x14ac:dyDescent="0.25">
      <c r="A206" s="33"/>
    </row>
    <row r="207" spans="1:10" x14ac:dyDescent="0.25">
      <c r="A207" s="33"/>
      <c r="B207" s="7" t="s">
        <v>87</v>
      </c>
      <c r="C207" s="56">
        <f>(SUMPRODUCT(C203:J203,C57:J57)/1000)</f>
        <v>431463.84158249071</v>
      </c>
      <c r="D207" s="56"/>
      <c r="E207" s="56"/>
    </row>
    <row r="208" spans="1:10" x14ac:dyDescent="0.25">
      <c r="A208" s="33"/>
      <c r="B208" s="7"/>
      <c r="C208" s="55"/>
      <c r="D208" s="55"/>
    </row>
    <row r="209" spans="1:12" x14ac:dyDescent="0.25">
      <c r="A209" s="33"/>
      <c r="B209" s="5" t="s">
        <v>88</v>
      </c>
      <c r="F209" s="107">
        <f>+C207/SUM(C57:J57)*1000</f>
        <v>78.448196497640708</v>
      </c>
    </row>
    <row r="210" spans="1:12" x14ac:dyDescent="0.25">
      <c r="A210" s="33"/>
      <c r="B210" s="5" t="s">
        <v>89</v>
      </c>
      <c r="F210" s="107">
        <f>+C207/SUMPRODUCT(C57:J57,C84:J84)*1000</f>
        <v>74.261022431884541</v>
      </c>
      <c r="J210" s="107"/>
    </row>
    <row r="211" spans="1:12" x14ac:dyDescent="0.25">
      <c r="A211" s="33"/>
    </row>
    <row r="212" spans="1:12" x14ac:dyDescent="0.25">
      <c r="A212" s="33"/>
      <c r="F212" s="109"/>
    </row>
    <row r="213" spans="1:12" x14ac:dyDescent="0.25">
      <c r="A213" s="16" t="s">
        <v>101</v>
      </c>
      <c r="B213" s="17" t="s">
        <v>129</v>
      </c>
      <c r="C213" s="18"/>
      <c r="D213" s="18"/>
      <c r="E213" s="18"/>
      <c r="F213" s="18"/>
      <c r="G213" s="18"/>
      <c r="H213" s="18"/>
      <c r="I213" s="18"/>
      <c r="J213" s="18"/>
    </row>
    <row r="214" spans="1:12" x14ac:dyDescent="0.25">
      <c r="A214" s="19"/>
      <c r="B214" s="20" t="s">
        <v>265</v>
      </c>
      <c r="C214" s="18"/>
      <c r="D214" s="18"/>
      <c r="E214" s="18"/>
      <c r="F214" s="18"/>
      <c r="G214" s="18"/>
      <c r="H214" s="18"/>
      <c r="I214" s="18"/>
      <c r="J214" s="18"/>
    </row>
    <row r="215" spans="1:12" x14ac:dyDescent="0.25">
      <c r="A215" s="19"/>
      <c r="B215" s="17"/>
      <c r="C215" s="18"/>
      <c r="D215" s="18"/>
      <c r="E215" s="18"/>
      <c r="F215" s="18"/>
      <c r="G215" s="18"/>
      <c r="H215" s="18"/>
      <c r="I215" s="18"/>
      <c r="J215" s="18"/>
    </row>
    <row r="216" spans="1:12" x14ac:dyDescent="0.25">
      <c r="A216" s="19"/>
      <c r="B216" s="18"/>
      <c r="C216" s="21" t="s">
        <v>5</v>
      </c>
      <c r="D216" s="50" t="s">
        <v>139</v>
      </c>
      <c r="E216" s="21" t="s">
        <v>6</v>
      </c>
      <c r="F216" s="21" t="s">
        <v>7</v>
      </c>
      <c r="G216" s="21" t="s">
        <v>8</v>
      </c>
      <c r="H216" s="21" t="s">
        <v>9</v>
      </c>
      <c r="I216" s="21" t="s">
        <v>10</v>
      </c>
      <c r="J216" s="21" t="s">
        <v>11</v>
      </c>
    </row>
    <row r="217" spans="1:12" x14ac:dyDescent="0.25">
      <c r="A217" s="19"/>
      <c r="B217" s="18"/>
      <c r="C217" s="22"/>
      <c r="D217" s="22"/>
      <c r="E217" s="22"/>
      <c r="F217" s="22"/>
      <c r="G217" s="18"/>
      <c r="H217" s="22"/>
      <c r="I217" s="18"/>
      <c r="J217" s="18"/>
    </row>
    <row r="218" spans="1:12" x14ac:dyDescent="0.25">
      <c r="A218" s="19"/>
      <c r="B218" s="23" t="s">
        <v>44</v>
      </c>
      <c r="C218" s="3"/>
      <c r="D218" s="30">
        <f t="shared" ref="D218:J218" si="49">ROUND(+D193/$F$210,3)</f>
        <v>1.3009999999999999</v>
      </c>
      <c r="E218" s="30">
        <f t="shared" si="49"/>
        <v>0.99</v>
      </c>
      <c r="F218" s="30">
        <f t="shared" si="49"/>
        <v>1.204</v>
      </c>
      <c r="G218" s="30">
        <f t="shared" si="49"/>
        <v>0.85199999999999998</v>
      </c>
      <c r="H218" s="30">
        <f t="shared" si="49"/>
        <v>0.748</v>
      </c>
      <c r="I218" s="30">
        <f t="shared" si="49"/>
        <v>0.46800000000000003</v>
      </c>
      <c r="J218" s="30">
        <f t="shared" si="49"/>
        <v>0.71</v>
      </c>
      <c r="K218" s="46"/>
      <c r="L218" s="46"/>
    </row>
    <row r="219" spans="1:12" x14ac:dyDescent="0.25">
      <c r="A219" s="19"/>
      <c r="B219" s="35" t="s">
        <v>134</v>
      </c>
      <c r="C219" s="3"/>
      <c r="D219" s="30">
        <f>ROUND(+D194/$F$210,3)</f>
        <v>1.4159999999999999</v>
      </c>
      <c r="E219" s="30"/>
      <c r="F219" s="30"/>
      <c r="G219" s="30"/>
      <c r="H219" s="30"/>
      <c r="I219" s="30"/>
      <c r="J219" s="30"/>
      <c r="K219" s="46"/>
      <c r="L219" s="46"/>
    </row>
    <row r="220" spans="1:12" x14ac:dyDescent="0.25">
      <c r="A220" s="19"/>
      <c r="B220" s="35" t="s">
        <v>37</v>
      </c>
      <c r="C220" s="3"/>
      <c r="D220" s="30">
        <f>ROUND(+D195/$F$210,3)</f>
        <v>0.44400000000000001</v>
      </c>
      <c r="E220" s="30"/>
      <c r="F220" s="30"/>
      <c r="G220" s="30"/>
      <c r="H220" s="30"/>
      <c r="I220" s="30"/>
      <c r="J220" s="30"/>
      <c r="K220" s="46"/>
      <c r="L220" s="46"/>
    </row>
    <row r="221" spans="1:12" x14ac:dyDescent="0.25">
      <c r="A221" s="19"/>
      <c r="B221" s="14" t="s">
        <v>91</v>
      </c>
      <c r="C221" s="30">
        <f>ROUND(+C193/$F$210,3)</f>
        <v>1.0169999999999999</v>
      </c>
      <c r="D221" s="30"/>
      <c r="E221" s="25"/>
      <c r="F221" s="25"/>
      <c r="G221" s="25"/>
      <c r="H221" s="25"/>
      <c r="I221" s="24"/>
      <c r="J221" s="24"/>
      <c r="K221" s="46"/>
      <c r="L221" s="46"/>
    </row>
    <row r="222" spans="1:12" x14ac:dyDescent="0.25">
      <c r="A222" s="19"/>
      <c r="B222" s="14" t="s">
        <v>92</v>
      </c>
      <c r="C222" s="26">
        <f>C196-C$193</f>
        <v>-3.6095558746036716</v>
      </c>
      <c r="D222" s="26"/>
      <c r="E222" s="42" t="s">
        <v>93</v>
      </c>
      <c r="F222" s="42"/>
      <c r="G222" s="25"/>
      <c r="H222" s="24"/>
      <c r="I222" s="24"/>
      <c r="J222" s="24"/>
      <c r="K222" s="46"/>
      <c r="L222" s="46"/>
    </row>
    <row r="223" spans="1:12" x14ac:dyDescent="0.25">
      <c r="A223" s="19"/>
      <c r="B223" s="14" t="s">
        <v>92</v>
      </c>
      <c r="C223" s="26">
        <f>C197-C$193</f>
        <v>5.0424441253963295</v>
      </c>
      <c r="D223" s="26"/>
      <c r="E223" s="42" t="s">
        <v>94</v>
      </c>
      <c r="F223" s="42"/>
      <c r="G223" s="25"/>
      <c r="H223" s="24"/>
      <c r="I223" s="24"/>
      <c r="J223" s="24"/>
      <c r="K223" s="46"/>
      <c r="L223" s="46"/>
    </row>
    <row r="224" spans="1:12" x14ac:dyDescent="0.25">
      <c r="A224" s="19"/>
      <c r="B224" s="14"/>
      <c r="C224" s="26"/>
      <c r="D224" s="26"/>
      <c r="E224" s="42"/>
      <c r="F224" s="42"/>
      <c r="G224" s="25"/>
      <c r="H224" s="24"/>
      <c r="I224" s="24"/>
      <c r="J224" s="24"/>
      <c r="K224" s="46"/>
      <c r="L224" s="46"/>
    </row>
    <row r="225" spans="1:12" x14ac:dyDescent="0.25">
      <c r="A225" s="19"/>
      <c r="B225" s="23" t="s">
        <v>45</v>
      </c>
      <c r="C225" s="30">
        <f>ROUND(+C199/$F$210,3)</f>
        <v>1.1639999999999999</v>
      </c>
      <c r="D225" s="30">
        <f>ROUND(+D199/$F$210,3)</f>
        <v>1.4930000000000001</v>
      </c>
      <c r="E225" s="30">
        <f t="shared" ref="E225:J225" si="50">ROUND(+E199/$F$210,3)</f>
        <v>1.0940000000000001</v>
      </c>
      <c r="F225" s="30">
        <f t="shared" si="50"/>
        <v>1.218</v>
      </c>
      <c r="G225" s="30">
        <f t="shared" si="50"/>
        <v>0.93500000000000005</v>
      </c>
      <c r="H225" s="30">
        <f t="shared" si="50"/>
        <v>0.81599999999999995</v>
      </c>
      <c r="I225" s="30">
        <f t="shared" si="50"/>
        <v>0.54300000000000004</v>
      </c>
      <c r="J225" s="30">
        <f t="shared" si="50"/>
        <v>0.78</v>
      </c>
      <c r="K225" s="46"/>
      <c r="L225" s="46"/>
    </row>
    <row r="226" spans="1:12" x14ac:dyDescent="0.25">
      <c r="A226" s="19"/>
      <c r="B226" s="35" t="s">
        <v>134</v>
      </c>
      <c r="C226" s="30"/>
      <c r="D226" s="30">
        <f>ROUND(+D200/$F$210,3)</f>
        <v>1.575</v>
      </c>
      <c r="E226" s="30"/>
      <c r="F226" s="30"/>
      <c r="G226" s="30"/>
      <c r="H226" s="30"/>
      <c r="I226" s="30"/>
      <c r="J226" s="30"/>
      <c r="K226" s="46"/>
      <c r="L226" s="46"/>
    </row>
    <row r="227" spans="1:12" x14ac:dyDescent="0.25">
      <c r="A227" s="19"/>
      <c r="B227" s="35" t="s">
        <v>37</v>
      </c>
      <c r="C227" s="30"/>
      <c r="D227" s="30">
        <f>ROUND(+D201/$F$210,3)</f>
        <v>0.52500000000000002</v>
      </c>
      <c r="E227" s="30"/>
      <c r="F227" s="30"/>
      <c r="G227" s="30"/>
      <c r="H227" s="30"/>
      <c r="I227" s="30"/>
      <c r="J227" s="30"/>
      <c r="K227" s="46"/>
      <c r="L227" s="46"/>
    </row>
    <row r="228" spans="1:12" x14ac:dyDescent="0.25">
      <c r="A228" s="19"/>
      <c r="B228" s="18"/>
      <c r="C228" s="24"/>
      <c r="D228" s="24"/>
      <c r="E228" s="24"/>
      <c r="F228" s="24"/>
      <c r="G228" s="24"/>
      <c r="H228" s="24"/>
      <c r="I228" s="24"/>
      <c r="J228" s="24"/>
      <c r="K228" s="46"/>
      <c r="L228" s="46"/>
    </row>
    <row r="229" spans="1:12" x14ac:dyDescent="0.25">
      <c r="A229" s="19"/>
      <c r="B229" s="18" t="s">
        <v>46</v>
      </c>
      <c r="C229" s="30">
        <f>ROUND(+C203/$F$210,3)</f>
        <v>1.1020000000000001</v>
      </c>
      <c r="D229" s="30">
        <f>ROUND(+D203/$F$210,3)</f>
        <v>0.91</v>
      </c>
      <c r="E229" s="30">
        <f t="shared" ref="E229:J229" si="51">ROUND(+E203/$F$210,3)</f>
        <v>1.0529999999999999</v>
      </c>
      <c r="F229" s="30">
        <f t="shared" si="51"/>
        <v>1.214</v>
      </c>
      <c r="G229" s="30">
        <f t="shared" si="51"/>
        <v>0.90300000000000002</v>
      </c>
      <c r="H229" s="30">
        <f t="shared" si="51"/>
        <v>0.79</v>
      </c>
      <c r="I229" s="30">
        <f t="shared" si="51"/>
        <v>0.51800000000000002</v>
      </c>
      <c r="J229" s="30">
        <f t="shared" si="51"/>
        <v>0.752</v>
      </c>
      <c r="K229" s="46"/>
      <c r="L229" s="46"/>
    </row>
    <row r="230" spans="1:12" x14ac:dyDescent="0.25">
      <c r="A230" s="33"/>
    </row>
    <row r="231" spans="1:12" x14ac:dyDescent="0.25">
      <c r="A231" s="33"/>
    </row>
    <row r="232" spans="1:12" x14ac:dyDescent="0.25">
      <c r="A232" s="32" t="s">
        <v>111</v>
      </c>
      <c r="B232" s="3" t="s">
        <v>96</v>
      </c>
    </row>
    <row r="233" spans="1:12" x14ac:dyDescent="0.25">
      <c r="A233" s="33"/>
      <c r="B233" s="20" t="s">
        <v>266</v>
      </c>
    </row>
    <row r="234" spans="1:12" x14ac:dyDescent="0.25">
      <c r="A234" s="33"/>
      <c r="B234" s="4" t="s">
        <v>35</v>
      </c>
    </row>
    <row r="235" spans="1:12" x14ac:dyDescent="0.25">
      <c r="A235" s="33"/>
      <c r="C235" s="50" t="s">
        <v>5</v>
      </c>
      <c r="D235" s="50" t="s">
        <v>139</v>
      </c>
      <c r="E235" s="50" t="s">
        <v>6</v>
      </c>
      <c r="F235" s="50" t="s">
        <v>7</v>
      </c>
      <c r="G235" s="50" t="s">
        <v>8</v>
      </c>
      <c r="H235" s="50" t="s">
        <v>9</v>
      </c>
      <c r="I235" s="50" t="s">
        <v>10</v>
      </c>
      <c r="J235" s="50" t="s">
        <v>11</v>
      </c>
    </row>
    <row r="236" spans="1:12" x14ac:dyDescent="0.25">
      <c r="A236" s="33"/>
      <c r="C236" s="191"/>
      <c r="D236" s="28"/>
      <c r="E236" s="28"/>
      <c r="F236" s="28"/>
      <c r="H236" s="28"/>
    </row>
    <row r="237" spans="1:12" x14ac:dyDescent="0.25">
      <c r="A237" s="33"/>
      <c r="B237" s="34" t="s">
        <v>44</v>
      </c>
      <c r="C237" s="15">
        <f>+C128+($E$175*C$80)+C184</f>
        <v>57.22716847148893</v>
      </c>
      <c r="D237" s="15">
        <f>+D128+($E$175*D$80)+D184</f>
        <v>67.873391853641294</v>
      </c>
      <c r="E237" s="15">
        <f t="shared" ref="E237:J237" si="52">+E128+($E$175*E$80)+E184</f>
        <v>58.256676249524467</v>
      </c>
      <c r="F237" s="15">
        <f>+F128+($E$175*F$80)+F184</f>
        <v>69.297502442798276</v>
      </c>
      <c r="G237" s="15">
        <f t="shared" si="52"/>
        <v>52.638236250149454</v>
      </c>
      <c r="H237" s="15">
        <f t="shared" si="52"/>
        <v>47.835780197460501</v>
      </c>
      <c r="I237" s="15">
        <f>+I128+($E$175*I$80)+I184</f>
        <v>34.718147573647457</v>
      </c>
      <c r="J237" s="15">
        <f t="shared" si="52"/>
        <v>46.298063973078449</v>
      </c>
    </row>
    <row r="238" spans="1:12" x14ac:dyDescent="0.25">
      <c r="A238" s="33"/>
      <c r="B238" s="35" t="s">
        <v>134</v>
      </c>
      <c r="C238" s="15"/>
      <c r="D238" s="15">
        <f>D$129+(E$175*D$80)+D$184</f>
        <v>76.366081490220552</v>
      </c>
      <c r="E238" s="15"/>
      <c r="F238" s="15"/>
      <c r="G238" s="15"/>
      <c r="H238" s="15"/>
      <c r="I238" s="15"/>
      <c r="J238" s="15"/>
    </row>
    <row r="239" spans="1:12" x14ac:dyDescent="0.25">
      <c r="A239" s="33"/>
      <c r="B239" s="35" t="s">
        <v>37</v>
      </c>
      <c r="C239" s="15"/>
      <c r="D239" s="15">
        <f>D$130+(E$175*D$80)</f>
        <v>33.000076214778957</v>
      </c>
      <c r="E239" s="15"/>
      <c r="F239" s="15"/>
      <c r="G239" s="15"/>
      <c r="H239" s="15"/>
      <c r="I239" s="15"/>
      <c r="J239" s="15"/>
    </row>
    <row r="240" spans="1:12" x14ac:dyDescent="0.25">
      <c r="A240" s="33"/>
      <c r="B240" s="7" t="s">
        <v>73</v>
      </c>
      <c r="C240" s="15">
        <f>(C237*SUM(C50:C53)-$C$169*10*$F$168*SUM(C50:C53))/SUM(C50:C53)</f>
        <v>53.617612596885266</v>
      </c>
      <c r="D240" s="15"/>
      <c r="E240" s="15"/>
      <c r="F240" s="15"/>
      <c r="G240" s="15"/>
      <c r="H240" s="15"/>
      <c r="I240" s="15"/>
      <c r="J240" s="15"/>
    </row>
    <row r="241" spans="1:10" x14ac:dyDescent="0.25">
      <c r="A241" s="33"/>
      <c r="B241" s="7" t="s">
        <v>74</v>
      </c>
      <c r="C241" s="15">
        <f>+C240+$C$169*10</f>
        <v>62.269612596885267</v>
      </c>
      <c r="D241" s="15"/>
      <c r="E241" s="15"/>
      <c r="F241" s="15"/>
      <c r="G241" s="15"/>
      <c r="H241" s="15"/>
      <c r="I241" s="15"/>
      <c r="J241" s="15"/>
    </row>
    <row r="242" spans="1:10" x14ac:dyDescent="0.25">
      <c r="A242" s="33"/>
      <c r="B242" s="34" t="s">
        <v>45</v>
      </c>
      <c r="C242" s="15">
        <f>+C132+($E$175*C$80)+C$185</f>
        <v>68.170238419027356</v>
      </c>
      <c r="D242" s="15">
        <f t="shared" ref="D242:J242" si="53">+D132+($E$175*D$80)+D$185</f>
        <v>82.144741639728323</v>
      </c>
      <c r="E242" s="15">
        <f t="shared" si="53"/>
        <v>65.987011506199849</v>
      </c>
      <c r="F242" s="15">
        <f t="shared" si="53"/>
        <v>70.39735306795933</v>
      </c>
      <c r="G242" s="15">
        <f t="shared" si="53"/>
        <v>58.782736262556242</v>
      </c>
      <c r="H242" s="15">
        <f t="shared" si="53"/>
        <v>52.922434665647216</v>
      </c>
      <c r="I242" s="15">
        <f>+I132+($E$175*I$80)+I$185</f>
        <v>40.309905326409648</v>
      </c>
      <c r="J242" s="15">
        <f t="shared" si="53"/>
        <v>51.516607490073035</v>
      </c>
    </row>
    <row r="243" spans="1:10" x14ac:dyDescent="0.25">
      <c r="A243" s="33"/>
      <c r="B243" s="35" t="s">
        <v>134</v>
      </c>
      <c r="C243" s="15"/>
      <c r="D243" s="15">
        <f>D$133+($E$175*D$80)+$D$185</f>
        <v>88.209701622161901</v>
      </c>
      <c r="E243" s="15"/>
      <c r="F243" s="15"/>
      <c r="G243" s="15"/>
      <c r="H243" s="15"/>
      <c r="I243" s="15"/>
      <c r="J243" s="15"/>
    </row>
    <row r="244" spans="1:10" x14ac:dyDescent="0.25">
      <c r="A244" s="33"/>
      <c r="B244" s="35" t="s">
        <v>37</v>
      </c>
      <c r="C244" s="15"/>
      <c r="D244" s="15">
        <f>D$134+($E$175*D$80)</f>
        <v>38.969895565608098</v>
      </c>
      <c r="E244" s="15"/>
      <c r="F244" s="15"/>
      <c r="G244" s="15"/>
      <c r="H244" s="15"/>
      <c r="I244" s="15"/>
      <c r="J244" s="15"/>
    </row>
    <row r="245" spans="1:10" x14ac:dyDescent="0.25">
      <c r="A245" s="33"/>
      <c r="B245" s="5" t="s">
        <v>46</v>
      </c>
      <c r="C245" s="15">
        <f t="shared" ref="C245:J245" si="54">+C136+($E$175*C$80)+C183</f>
        <v>63.581007121173101</v>
      </c>
      <c r="D245" s="15">
        <f>((D238*SUMPRODUCT(D32:D35,D50:D53)+D239*SUMPRODUCT(D50:D53,P32:P35))+(D243*(SUMPRODUCT(D45:D49,D27:D31)+SUMPRODUCT(D54:D56,D36:D38))+D244*(SUMPRODUCT(D45:D49,P27:P31)+SUMPRODUCT(D54:D56,P36:P38))))/D57</f>
        <v>55.79576267993059</v>
      </c>
      <c r="E245" s="15">
        <f t="shared" si="54"/>
        <v>62.962003584110889</v>
      </c>
      <c r="F245" s="15">
        <f t="shared" si="54"/>
        <v>70.044425702653697</v>
      </c>
      <c r="G245" s="15">
        <f t="shared" si="54"/>
        <v>56.388172765209589</v>
      </c>
      <c r="H245" s="15">
        <f t="shared" si="54"/>
        <v>50.967632632130389</v>
      </c>
      <c r="I245" s="15">
        <f t="shared" si="54"/>
        <v>38.486259974919172</v>
      </c>
      <c r="J245" s="15">
        <f t="shared" si="54"/>
        <v>49.467862143838083</v>
      </c>
    </row>
    <row r="246" spans="1:10" x14ac:dyDescent="0.25">
      <c r="A246" s="33"/>
    </row>
    <row r="247" spans="1:10" x14ac:dyDescent="0.25">
      <c r="A247" s="33"/>
      <c r="C247" s="15"/>
      <c r="D247" s="15"/>
      <c r="E247" s="15"/>
    </row>
    <row r="248" spans="1:10" x14ac:dyDescent="0.25">
      <c r="A248" s="33"/>
      <c r="B248" s="7" t="s">
        <v>87</v>
      </c>
      <c r="C248" s="56">
        <f>(SUMPRODUCT(C245:J245,C57:J57)/1000)</f>
        <v>341177.6258119265</v>
      </c>
      <c r="D248" s="56"/>
      <c r="E248" s="56"/>
    </row>
    <row r="249" spans="1:10" x14ac:dyDescent="0.25">
      <c r="A249" s="33"/>
      <c r="B249" s="7"/>
      <c r="C249" s="55"/>
      <c r="D249" s="55"/>
    </row>
    <row r="250" spans="1:10" x14ac:dyDescent="0.25">
      <c r="A250" s="33"/>
      <c r="B250" s="5" t="s">
        <v>97</v>
      </c>
      <c r="G250" s="107">
        <f>+C248/SUM(C57:J57)*1000</f>
        <v>62.032473757538355</v>
      </c>
      <c r="H250" s="110"/>
    </row>
    <row r="251" spans="1:10" x14ac:dyDescent="0.25">
      <c r="A251" s="33"/>
      <c r="B251" s="5" t="s">
        <v>98</v>
      </c>
      <c r="G251" s="107">
        <f>+C248/SUMPRODUCT(C57:J57,C84:J84)*1000</f>
        <v>58.721489223176548</v>
      </c>
      <c r="H251" s="110"/>
    </row>
    <row r="252" spans="1:10" x14ac:dyDescent="0.25">
      <c r="A252" s="33"/>
    </row>
    <row r="253" spans="1:10" x14ac:dyDescent="0.25">
      <c r="A253" s="33"/>
    </row>
    <row r="254" spans="1:10" x14ac:dyDescent="0.25">
      <c r="A254" s="16" t="s">
        <v>112</v>
      </c>
      <c r="B254" s="17" t="s">
        <v>130</v>
      </c>
      <c r="C254" s="18"/>
      <c r="D254" s="18"/>
      <c r="E254" s="18"/>
      <c r="F254" s="18"/>
      <c r="G254" s="18"/>
      <c r="H254" s="18"/>
      <c r="I254" s="18"/>
      <c r="J254" s="18"/>
    </row>
    <row r="255" spans="1:10" x14ac:dyDescent="0.25">
      <c r="A255" s="19"/>
      <c r="B255" s="20" t="s">
        <v>267</v>
      </c>
      <c r="C255" s="18"/>
      <c r="D255" s="18"/>
      <c r="E255" s="18"/>
      <c r="F255" s="18"/>
      <c r="G255" s="18"/>
      <c r="H255" s="18"/>
      <c r="I255" s="18"/>
      <c r="J255" s="18"/>
    </row>
    <row r="256" spans="1:10" x14ac:dyDescent="0.25">
      <c r="A256" s="19"/>
      <c r="B256" s="20" t="s">
        <v>100</v>
      </c>
      <c r="C256" s="18"/>
      <c r="D256" s="18"/>
      <c r="E256" s="18"/>
      <c r="F256" s="18"/>
      <c r="G256" s="18"/>
      <c r="H256" s="18"/>
      <c r="I256" s="18"/>
      <c r="J256" s="18"/>
    </row>
    <row r="257" spans="1:10" x14ac:dyDescent="0.25">
      <c r="A257" s="19"/>
      <c r="B257" s="20"/>
      <c r="C257" s="18"/>
      <c r="D257" s="18"/>
      <c r="E257" s="18"/>
      <c r="F257" s="18"/>
      <c r="G257" s="18"/>
      <c r="H257" s="18"/>
      <c r="I257" s="18"/>
      <c r="J257" s="18"/>
    </row>
    <row r="258" spans="1:10" x14ac:dyDescent="0.25">
      <c r="A258" s="19"/>
      <c r="B258" s="18"/>
      <c r="C258" s="21" t="s">
        <v>5</v>
      </c>
      <c r="D258" s="50" t="s">
        <v>139</v>
      </c>
      <c r="E258" s="21" t="s">
        <v>6</v>
      </c>
      <c r="F258" s="21" t="s">
        <v>7</v>
      </c>
      <c r="G258" s="21" t="s">
        <v>8</v>
      </c>
      <c r="H258" s="21" t="s">
        <v>9</v>
      </c>
      <c r="I258" s="21" t="s">
        <v>10</v>
      </c>
      <c r="J258" s="21" t="s">
        <v>11</v>
      </c>
    </row>
    <row r="259" spans="1:10" x14ac:dyDescent="0.25">
      <c r="A259" s="19"/>
      <c r="B259" s="18"/>
      <c r="C259" s="22"/>
      <c r="D259" s="22"/>
      <c r="E259" s="22"/>
      <c r="F259" s="22"/>
      <c r="G259" s="18"/>
      <c r="H259" s="22"/>
      <c r="I259" s="18"/>
      <c r="J259" s="18"/>
    </row>
    <row r="260" spans="1:10" x14ac:dyDescent="0.25">
      <c r="A260" s="19"/>
      <c r="B260" s="23" t="s">
        <v>44</v>
      </c>
      <c r="D260" s="30">
        <f>ROUND(D237/$G$251,3)</f>
        <v>1.1559999999999999</v>
      </c>
      <c r="E260" s="30">
        <f t="shared" ref="E260:J260" si="55">ROUND(E237/$G$251,3)</f>
        <v>0.99199999999999999</v>
      </c>
      <c r="F260" s="30">
        <f t="shared" si="55"/>
        <v>1.18</v>
      </c>
      <c r="G260" s="30">
        <f t="shared" si="55"/>
        <v>0.89600000000000002</v>
      </c>
      <c r="H260" s="30">
        <f t="shared" si="55"/>
        <v>0.81499999999999995</v>
      </c>
      <c r="I260" s="30">
        <f t="shared" si="55"/>
        <v>0.59099999999999997</v>
      </c>
      <c r="J260" s="30">
        <f t="shared" si="55"/>
        <v>0.78800000000000003</v>
      </c>
    </row>
    <row r="261" spans="1:10" x14ac:dyDescent="0.25">
      <c r="A261" s="19"/>
      <c r="B261" s="35" t="s">
        <v>134</v>
      </c>
      <c r="D261" s="30">
        <f>ROUND(D238/$G$251,3)</f>
        <v>1.3</v>
      </c>
      <c r="E261" s="30"/>
      <c r="F261" s="30"/>
      <c r="G261" s="30"/>
      <c r="H261" s="30"/>
      <c r="I261" s="30"/>
      <c r="J261" s="30"/>
    </row>
    <row r="262" spans="1:10" x14ac:dyDescent="0.25">
      <c r="A262" s="19"/>
      <c r="B262" s="35" t="s">
        <v>37</v>
      </c>
      <c r="D262" s="30">
        <f>ROUND(D239/$G$251,3)</f>
        <v>0.56200000000000006</v>
      </c>
      <c r="E262" s="30"/>
      <c r="F262" s="30"/>
      <c r="G262" s="30"/>
      <c r="H262" s="30"/>
      <c r="I262" s="30"/>
      <c r="J262" s="30"/>
    </row>
    <row r="263" spans="1:10" x14ac:dyDescent="0.25">
      <c r="A263" s="19"/>
      <c r="B263" s="14" t="s">
        <v>91</v>
      </c>
      <c r="C263" s="30">
        <f>ROUND(C237/$G$251,3)</f>
        <v>0.97499999999999998</v>
      </c>
      <c r="D263" s="30"/>
      <c r="E263" s="25"/>
      <c r="F263" s="24"/>
      <c r="G263" s="24"/>
      <c r="H263" s="24"/>
      <c r="I263" s="24"/>
      <c r="J263" s="158"/>
    </row>
    <row r="264" spans="1:10" x14ac:dyDescent="0.25">
      <c r="A264" s="19"/>
      <c r="B264" s="14" t="s">
        <v>92</v>
      </c>
      <c r="C264" s="26">
        <f>(C240-C$237)</f>
        <v>-3.6095558746036644</v>
      </c>
      <c r="D264" s="26"/>
      <c r="E264" s="27" t="s">
        <v>93</v>
      </c>
      <c r="F264" s="24"/>
      <c r="G264" s="24"/>
      <c r="H264" s="24"/>
      <c r="I264" s="24"/>
      <c r="J264" s="158"/>
    </row>
    <row r="265" spans="1:10" x14ac:dyDescent="0.25">
      <c r="A265" s="19"/>
      <c r="B265" s="14" t="s">
        <v>92</v>
      </c>
      <c r="C265" s="26">
        <f>(C241-C$237)</f>
        <v>5.0424441253963366</v>
      </c>
      <c r="D265" s="26"/>
      <c r="E265" s="27" t="s">
        <v>94</v>
      </c>
      <c r="F265" s="24"/>
      <c r="G265" s="24"/>
      <c r="H265" s="24"/>
      <c r="I265" s="24"/>
      <c r="J265" s="158"/>
    </row>
    <row r="266" spans="1:10" x14ac:dyDescent="0.25">
      <c r="A266" s="19"/>
      <c r="B266" s="23"/>
      <c r="C266" s="24"/>
      <c r="D266" s="24"/>
      <c r="E266" s="24"/>
      <c r="F266" s="24"/>
      <c r="G266" s="24"/>
      <c r="H266" s="24"/>
      <c r="I266" s="24"/>
      <c r="J266" s="158"/>
    </row>
    <row r="267" spans="1:10" x14ac:dyDescent="0.25">
      <c r="A267" s="19"/>
      <c r="B267" s="23" t="s">
        <v>45</v>
      </c>
      <c r="C267" s="30">
        <f t="shared" ref="C267:J267" si="56">ROUND(+C242/$G$251,3)</f>
        <v>1.161</v>
      </c>
      <c r="D267" s="30">
        <f t="shared" si="56"/>
        <v>1.399</v>
      </c>
      <c r="E267" s="30">
        <f>ROUND(+E242/$G$251,3)</f>
        <v>1.1240000000000001</v>
      </c>
      <c r="F267" s="30">
        <f t="shared" si="56"/>
        <v>1.1990000000000001</v>
      </c>
      <c r="G267" s="30">
        <f t="shared" si="56"/>
        <v>1.0009999999999999</v>
      </c>
      <c r="H267" s="30">
        <f t="shared" si="56"/>
        <v>0.90100000000000002</v>
      </c>
      <c r="I267" s="30">
        <f t="shared" si="56"/>
        <v>0.68600000000000005</v>
      </c>
      <c r="J267" s="30">
        <f t="shared" si="56"/>
        <v>0.877</v>
      </c>
    </row>
    <row r="268" spans="1:10" x14ac:dyDescent="0.25">
      <c r="A268" s="19"/>
      <c r="B268" s="35" t="s">
        <v>134</v>
      </c>
      <c r="C268" s="30"/>
      <c r="D268" s="30">
        <f>ROUND(+D243/$G$251,3)</f>
        <v>1.502</v>
      </c>
      <c r="E268" s="30"/>
      <c r="F268" s="30"/>
      <c r="G268" s="30"/>
      <c r="H268" s="30"/>
      <c r="I268" s="30"/>
      <c r="J268" s="30"/>
    </row>
    <row r="269" spans="1:10" x14ac:dyDescent="0.25">
      <c r="A269" s="19"/>
      <c r="B269" s="35" t="s">
        <v>37</v>
      </c>
      <c r="C269" s="30"/>
      <c r="D269" s="30">
        <f>ROUND(+D244/$G$251,3)</f>
        <v>0.66400000000000003</v>
      </c>
      <c r="E269" s="30"/>
      <c r="F269" s="30"/>
      <c r="G269" s="30"/>
      <c r="H269" s="30"/>
      <c r="I269" s="30"/>
      <c r="J269" s="30"/>
    </row>
    <row r="270" spans="1:10" x14ac:dyDescent="0.25">
      <c r="A270" s="19"/>
      <c r="B270" s="18" t="s">
        <v>46</v>
      </c>
      <c r="C270" s="30">
        <f>ROUND(+C245/$G$251,3)</f>
        <v>1.083</v>
      </c>
      <c r="D270" s="30">
        <f>ROUND(+D245/$G$251,3)</f>
        <v>0.95</v>
      </c>
      <c r="E270" s="30">
        <f t="shared" ref="E270:J270" si="57">ROUND(+E245/$G$251,3)</f>
        <v>1.0720000000000001</v>
      </c>
      <c r="F270" s="30">
        <f t="shared" si="57"/>
        <v>1.1930000000000001</v>
      </c>
      <c r="G270" s="30">
        <f t="shared" si="57"/>
        <v>0.96</v>
      </c>
      <c r="H270" s="30">
        <f t="shared" si="57"/>
        <v>0.86799999999999999</v>
      </c>
      <c r="I270" s="30">
        <f t="shared" si="57"/>
        <v>0.65500000000000003</v>
      </c>
      <c r="J270" s="30">
        <f t="shared" si="57"/>
        <v>0.84199999999999997</v>
      </c>
    </row>
    <row r="271" spans="1:10" x14ac:dyDescent="0.25">
      <c r="A271" s="33"/>
    </row>
    <row r="272" spans="1:10" x14ac:dyDescent="0.25">
      <c r="A272" s="33"/>
    </row>
    <row r="273" spans="1:12" x14ac:dyDescent="0.25">
      <c r="A273" s="32" t="s">
        <v>113</v>
      </c>
      <c r="B273" s="3" t="s">
        <v>102</v>
      </c>
    </row>
    <row r="274" spans="1:12" x14ac:dyDescent="0.25">
      <c r="A274" s="33"/>
      <c r="B274" s="3"/>
    </row>
    <row r="275" spans="1:12" x14ac:dyDescent="0.25">
      <c r="A275" s="33"/>
      <c r="C275" s="21" t="s">
        <v>5</v>
      </c>
      <c r="D275" s="50" t="s">
        <v>139</v>
      </c>
      <c r="E275" s="21" t="s">
        <v>6</v>
      </c>
      <c r="F275" s="21" t="s">
        <v>7</v>
      </c>
      <c r="G275" s="21" t="s">
        <v>8</v>
      </c>
      <c r="H275" s="21" t="s">
        <v>9</v>
      </c>
      <c r="I275" s="21" t="s">
        <v>10</v>
      </c>
      <c r="J275" s="21" t="s">
        <v>11</v>
      </c>
      <c r="K275" s="28"/>
      <c r="L275" s="28"/>
    </row>
    <row r="276" spans="1:12" x14ac:dyDescent="0.25">
      <c r="A276" s="33"/>
      <c r="B276" s="5" t="s">
        <v>103</v>
      </c>
    </row>
    <row r="277" spans="1:12" x14ac:dyDescent="0.25">
      <c r="A277" s="33"/>
      <c r="B277" s="54" t="s">
        <v>63</v>
      </c>
      <c r="C277" s="55">
        <f>((C196*O$48*F$167)+(C197*O$48*F$168))/1000</f>
        <v>119987.1517874876</v>
      </c>
      <c r="D277" s="55">
        <f t="shared" ref="D277:J277" si="58">+D193*SUM(D50:D53)/1000</f>
        <v>110.43891475867125</v>
      </c>
      <c r="E277" s="55">
        <f t="shared" si="58"/>
        <v>21132.683306279356</v>
      </c>
      <c r="F277" s="55">
        <f t="shared" si="58"/>
        <v>264.06176095303834</v>
      </c>
      <c r="G277" s="55">
        <f>+G193*SUM(G50:G53)/1000</f>
        <v>21193.542614596023</v>
      </c>
      <c r="H277" s="55">
        <f t="shared" si="58"/>
        <v>1066.3384048237042</v>
      </c>
      <c r="I277" s="55">
        <f t="shared" si="58"/>
        <v>529.15964726684672</v>
      </c>
      <c r="J277" s="55">
        <f t="shared" si="58"/>
        <v>167.69841818401653</v>
      </c>
      <c r="K277" s="55"/>
      <c r="L277" s="55"/>
    </row>
    <row r="278" spans="1:12" x14ac:dyDescent="0.25">
      <c r="A278" s="33"/>
      <c r="B278" s="54" t="s">
        <v>66</v>
      </c>
      <c r="C278" s="55">
        <f t="shared" ref="C278:J278" si="59">+C199*SUM(C45:C49,C54:C56)/1000</f>
        <v>190196.8443293169</v>
      </c>
      <c r="D278" s="55">
        <f t="shared" si="59"/>
        <v>201.4082565267733</v>
      </c>
      <c r="E278" s="55">
        <f t="shared" si="59"/>
        <v>36329.293723675604</v>
      </c>
      <c r="F278" s="55">
        <f t="shared" si="59"/>
        <v>565.72750058673341</v>
      </c>
      <c r="G278" s="55">
        <f t="shared" si="59"/>
        <v>36411.916107829064</v>
      </c>
      <c r="H278" s="55">
        <f t="shared" si="59"/>
        <v>1864.9366864917804</v>
      </c>
      <c r="I278" s="55">
        <f>+I199*SUM(I45:I49,I54:I56)/1000</f>
        <v>1269.4786951373123</v>
      </c>
      <c r="J278" s="55">
        <f t="shared" si="59"/>
        <v>285.1502358407198</v>
      </c>
      <c r="K278" s="55"/>
      <c r="L278" s="55"/>
    </row>
    <row r="279" spans="1:12" x14ac:dyDescent="0.25">
      <c r="A279" s="33"/>
      <c r="B279" s="54" t="s">
        <v>29</v>
      </c>
      <c r="C279" s="41">
        <f t="shared" ref="C279:J279" si="60">+C278+C277</f>
        <v>310183.99611680448</v>
      </c>
      <c r="D279" s="41">
        <f t="shared" si="60"/>
        <v>311.84717128544457</v>
      </c>
      <c r="E279" s="41">
        <f t="shared" si="60"/>
        <v>57461.977029954956</v>
      </c>
      <c r="F279" s="41">
        <f t="shared" si="60"/>
        <v>829.78926153977181</v>
      </c>
      <c r="G279" s="41">
        <f t="shared" si="60"/>
        <v>57605.458722425086</v>
      </c>
      <c r="H279" s="41">
        <f t="shared" si="60"/>
        <v>2931.2750913154846</v>
      </c>
      <c r="I279" s="41">
        <f t="shared" si="60"/>
        <v>1798.6383424041592</v>
      </c>
      <c r="J279" s="55">
        <f t="shared" si="60"/>
        <v>452.84865402473633</v>
      </c>
      <c r="K279" s="55"/>
      <c r="L279" s="55"/>
    </row>
    <row r="280" spans="1:12" x14ac:dyDescent="0.25">
      <c r="A280" s="33"/>
      <c r="B280" s="54"/>
    </row>
    <row r="281" spans="1:12" x14ac:dyDescent="0.25">
      <c r="A281" s="33"/>
      <c r="B281" s="5" t="s">
        <v>104</v>
      </c>
    </row>
    <row r="282" spans="1:12" x14ac:dyDescent="0.25">
      <c r="A282" s="33"/>
      <c r="B282" s="54" t="s">
        <v>63</v>
      </c>
      <c r="C282" s="111">
        <f t="shared" ref="C282:J282" si="61">+C277/C279</f>
        <v>0.38682573340213405</v>
      </c>
      <c r="D282" s="111">
        <f>+D277/D279</f>
        <v>0.35414435315683096</v>
      </c>
      <c r="E282" s="111">
        <f t="shared" si="61"/>
        <v>0.36776812073943921</v>
      </c>
      <c r="F282" s="111">
        <f t="shared" si="61"/>
        <v>0.31822749846514115</v>
      </c>
      <c r="G282" s="111">
        <f t="shared" si="61"/>
        <v>0.36790858166268958</v>
      </c>
      <c r="H282" s="111">
        <f t="shared" si="61"/>
        <v>0.36377971074190707</v>
      </c>
      <c r="I282" s="111">
        <f>+I277/I279</f>
        <v>0.29420013728804578</v>
      </c>
      <c r="J282" s="111">
        <f t="shared" si="61"/>
        <v>0.37031890609275436</v>
      </c>
      <c r="K282" s="111"/>
      <c r="L282" s="111"/>
    </row>
    <row r="283" spans="1:12" x14ac:dyDescent="0.25">
      <c r="A283" s="33"/>
      <c r="B283" s="54" t="s">
        <v>66</v>
      </c>
      <c r="C283" s="111">
        <f t="shared" ref="C283:J283" si="62">+C278/C279</f>
        <v>0.613174266597866</v>
      </c>
      <c r="D283" s="111">
        <f>+D278/D279</f>
        <v>0.64585564684316887</v>
      </c>
      <c r="E283" s="111">
        <f t="shared" si="62"/>
        <v>0.6322318792605609</v>
      </c>
      <c r="F283" s="111">
        <f t="shared" si="62"/>
        <v>0.6817725015348588</v>
      </c>
      <c r="G283" s="111">
        <f t="shared" si="62"/>
        <v>0.63209141833731042</v>
      </c>
      <c r="H283" s="111">
        <f t="shared" si="62"/>
        <v>0.63622028925809293</v>
      </c>
      <c r="I283" s="111">
        <f t="shared" si="62"/>
        <v>0.70579986271195416</v>
      </c>
      <c r="J283" s="111">
        <f t="shared" si="62"/>
        <v>0.62968109390724569</v>
      </c>
      <c r="K283" s="111"/>
      <c r="L283" s="111"/>
    </row>
    <row r="284" spans="1:12" x14ac:dyDescent="0.25">
      <c r="A284" s="33"/>
    </row>
    <row r="285" spans="1:12" x14ac:dyDescent="0.25">
      <c r="A285" s="33"/>
      <c r="B285" s="5" t="s">
        <v>105</v>
      </c>
    </row>
    <row r="286" spans="1:12" x14ac:dyDescent="0.25">
      <c r="A286" s="33"/>
      <c r="B286" s="54" t="s">
        <v>63</v>
      </c>
      <c r="C286" s="112">
        <f>+SUM(C277:J277)</f>
        <v>164451.07485434925</v>
      </c>
      <c r="D286" s="112"/>
    </row>
    <row r="287" spans="1:12" x14ac:dyDescent="0.25">
      <c r="A287" s="33"/>
      <c r="B287" s="54" t="s">
        <v>66</v>
      </c>
      <c r="C287" s="112">
        <f>+SUM(C278:J278)</f>
        <v>267124.75553540484</v>
      </c>
      <c r="D287" s="112"/>
    </row>
    <row r="288" spans="1:12" x14ac:dyDescent="0.25">
      <c r="A288" s="33"/>
      <c r="B288" s="54" t="s">
        <v>29</v>
      </c>
      <c r="C288" s="41">
        <f>+C287+C286</f>
        <v>431575.83038975409</v>
      </c>
      <c r="D288" s="41"/>
    </row>
    <row r="289" spans="1:13" x14ac:dyDescent="0.25">
      <c r="A289" s="33"/>
    </row>
    <row r="290" spans="1:13" x14ac:dyDescent="0.25">
      <c r="A290" s="33"/>
      <c r="B290" s="5" t="s">
        <v>106</v>
      </c>
      <c r="D290" s="5" t="s">
        <v>107</v>
      </c>
    </row>
    <row r="291" spans="1:13" x14ac:dyDescent="0.25">
      <c r="A291" s="33"/>
      <c r="B291" s="54" t="s">
        <v>63</v>
      </c>
      <c r="C291" s="111">
        <f>+C286/C288</f>
        <v>0.38104792547310695</v>
      </c>
      <c r="E291" s="106">
        <f>+C286/SUMPRODUCT(O48:V48,C84:J84)*1000</f>
        <v>69.091229995359072</v>
      </c>
      <c r="F291" s="5" t="s">
        <v>108</v>
      </c>
      <c r="I291" s="5" t="s">
        <v>109</v>
      </c>
      <c r="K291" s="5" t="s">
        <v>110</v>
      </c>
      <c r="L291" s="54" t="s">
        <v>63</v>
      </c>
      <c r="M291" s="159">
        <f>IF(ROUND(E$291/F$210,4)&lt;ROUND(E$292/F$210,4),1,ROUND(E291/F$210,4))</f>
        <v>1</v>
      </c>
    </row>
    <row r="292" spans="1:13" x14ac:dyDescent="0.25">
      <c r="A292" s="33"/>
      <c r="B292" s="54" t="s">
        <v>66</v>
      </c>
      <c r="C292" s="111">
        <f>+C287/C288</f>
        <v>0.61895207452689305</v>
      </c>
      <c r="E292" s="106">
        <f>+C287/SUMPRODUCT(O45:V45,C84:J84)*1000</f>
        <v>77.881288705227973</v>
      </c>
      <c r="F292" s="5" t="s">
        <v>108</v>
      </c>
      <c r="I292" s="5" t="s">
        <v>132</v>
      </c>
      <c r="L292" s="54" t="s">
        <v>66</v>
      </c>
      <c r="M292" s="159">
        <f>IF(ROUND(E$291/F$210,4)&lt;ROUND(E$292/F$210,4),1,ROUND(E292/F$210,4))</f>
        <v>1</v>
      </c>
    </row>
    <row r="293" spans="1:13" x14ac:dyDescent="0.25">
      <c r="A293" s="33"/>
    </row>
    <row r="294" spans="1:13" x14ac:dyDescent="0.25">
      <c r="A294" s="33"/>
    </row>
    <row r="295" spans="1:13" x14ac:dyDescent="0.25">
      <c r="A295" s="32"/>
      <c r="B295" s="3" t="s">
        <v>114</v>
      </c>
      <c r="F295" s="106"/>
    </row>
    <row r="296" spans="1:13" x14ac:dyDescent="0.25">
      <c r="A296" s="33"/>
      <c r="B296" s="7" t="s">
        <v>115</v>
      </c>
      <c r="C296" s="108">
        <f>F156</f>
        <v>169.65188580980973</v>
      </c>
      <c r="D296" s="108"/>
      <c r="E296" s="5" t="s">
        <v>116</v>
      </c>
      <c r="F296" s="5" t="s">
        <v>117</v>
      </c>
    </row>
    <row r="297" spans="1:13" x14ac:dyDescent="0.25">
      <c r="A297" s="33"/>
      <c r="B297" s="7" t="s">
        <v>118</v>
      </c>
      <c r="C297" s="108">
        <f>F157</f>
        <v>169.65188580980973</v>
      </c>
      <c r="D297" s="108"/>
      <c r="E297" s="5" t="s">
        <v>116</v>
      </c>
      <c r="F297" s="5" t="s">
        <v>119</v>
      </c>
    </row>
    <row r="298" spans="1:13" x14ac:dyDescent="0.25">
      <c r="A298" s="33"/>
      <c r="B298" s="7" t="s">
        <v>120</v>
      </c>
      <c r="C298" s="41">
        <f>+E153</f>
        <v>48426.859643402662</v>
      </c>
      <c r="D298" s="41"/>
      <c r="E298" s="105" t="s">
        <v>61</v>
      </c>
    </row>
    <row r="299" spans="1:13" x14ac:dyDescent="0.25">
      <c r="A299" s="33"/>
      <c r="B299" s="7" t="s">
        <v>121</v>
      </c>
      <c r="C299" s="36">
        <f>+E173</f>
        <v>2</v>
      </c>
      <c r="D299" s="36"/>
      <c r="E299" s="5" t="s">
        <v>131</v>
      </c>
      <c r="F299" s="78"/>
    </row>
    <row r="300" spans="1:13" x14ac:dyDescent="0.25">
      <c r="A300" s="33"/>
      <c r="B300" s="188" t="s">
        <v>263</v>
      </c>
      <c r="C300" s="36">
        <f>E174</f>
        <v>6.96</v>
      </c>
      <c r="D300" s="36"/>
      <c r="E300" s="5" t="s">
        <v>131</v>
      </c>
      <c r="F300" s="78"/>
    </row>
    <row r="301" spans="1:13" x14ac:dyDescent="0.25">
      <c r="A301" s="33"/>
      <c r="B301" s="7" t="s">
        <v>122</v>
      </c>
      <c r="C301" s="138" t="s">
        <v>271</v>
      </c>
    </row>
    <row r="302" spans="1:13" x14ac:dyDescent="0.25">
      <c r="A302" s="33"/>
      <c r="B302" s="7" t="s">
        <v>123</v>
      </c>
      <c r="C302" s="27" t="s">
        <v>239</v>
      </c>
      <c r="D302" s="27"/>
    </row>
    <row r="303" spans="1:13" x14ac:dyDescent="0.25">
      <c r="A303" s="33"/>
      <c r="B303" s="7" t="s">
        <v>124</v>
      </c>
      <c r="C303" s="138" t="s">
        <v>272</v>
      </c>
    </row>
    <row r="304" spans="1:13" x14ac:dyDescent="0.25">
      <c r="A304" s="33"/>
      <c r="B304" s="7" t="s">
        <v>125</v>
      </c>
      <c r="C304" s="5" t="s">
        <v>252</v>
      </c>
    </row>
    <row r="305" spans="1:19" x14ac:dyDescent="0.25">
      <c r="A305" s="33"/>
      <c r="B305" s="7" t="s">
        <v>126</v>
      </c>
      <c r="C305" s="5" t="s">
        <v>207</v>
      </c>
    </row>
    <row r="306" spans="1:19" x14ac:dyDescent="0.25">
      <c r="A306" s="33"/>
      <c r="C306" s="5" t="s">
        <v>208</v>
      </c>
    </row>
    <row r="309" spans="1:19" x14ac:dyDescent="0.25">
      <c r="A309" s="32" t="s">
        <v>225</v>
      </c>
      <c r="B309" s="3" t="s">
        <v>250</v>
      </c>
    </row>
    <row r="310" spans="1:19" x14ac:dyDescent="0.25">
      <c r="A310" s="33"/>
      <c r="B310" s="4" t="s">
        <v>268</v>
      </c>
      <c r="N310" s="18"/>
      <c r="O310" s="18"/>
      <c r="P310" s="18"/>
      <c r="Q310" s="18"/>
      <c r="R310" s="18"/>
      <c r="S310" s="18"/>
    </row>
    <row r="311" spans="1:19" x14ac:dyDescent="0.25">
      <c r="A311" s="33"/>
      <c r="B311" s="4" t="s">
        <v>35</v>
      </c>
      <c r="N311" s="18"/>
      <c r="O311" s="18"/>
      <c r="P311" s="18"/>
      <c r="Q311" s="18"/>
      <c r="R311" s="18"/>
      <c r="S311" s="18"/>
    </row>
    <row r="312" spans="1:19" x14ac:dyDescent="0.25">
      <c r="A312" s="33"/>
      <c r="B312" s="4"/>
      <c r="N312" s="18"/>
      <c r="O312" s="18"/>
      <c r="P312" s="18"/>
      <c r="Q312" s="18"/>
      <c r="R312" s="18"/>
      <c r="S312" s="18"/>
    </row>
    <row r="313" spans="1:19" x14ac:dyDescent="0.25">
      <c r="A313" s="33"/>
      <c r="B313" s="83" t="s">
        <v>226</v>
      </c>
      <c r="C313" s="160">
        <f>'auction results and rates'!C31</f>
        <v>77.605999999999995</v>
      </c>
      <c r="D313" s="84"/>
      <c r="E313" s="108"/>
      <c r="N313" s="18"/>
      <c r="O313" s="132"/>
      <c r="P313" s="132"/>
      <c r="Q313" s="75"/>
      <c r="R313" s="75"/>
      <c r="S313" s="18"/>
    </row>
    <row r="314" spans="1:19" x14ac:dyDescent="0.25">
      <c r="A314" s="33"/>
      <c r="B314" s="85" t="s">
        <v>227</v>
      </c>
      <c r="C314" s="161">
        <f>K180*K57/SUMPRODUCT(C57:J57,C80:J80)</f>
        <v>15.259632628005839</v>
      </c>
      <c r="D314" s="84"/>
      <c r="N314" s="18"/>
      <c r="O314" s="74"/>
      <c r="P314" s="74"/>
      <c r="Q314" s="75"/>
      <c r="R314" s="75"/>
      <c r="S314" s="18"/>
    </row>
    <row r="315" spans="1:19" x14ac:dyDescent="0.25">
      <c r="A315" s="33"/>
      <c r="B315" s="86" t="s">
        <v>228</v>
      </c>
      <c r="C315" s="179">
        <f>C313-C314</f>
        <v>62.346367371994155</v>
      </c>
      <c r="D315" s="87"/>
      <c r="E315" s="136"/>
      <c r="N315" s="18"/>
      <c r="O315" s="76"/>
      <c r="P315" s="76"/>
      <c r="Q315" s="76"/>
      <c r="R315" s="76"/>
      <c r="S315" s="18"/>
    </row>
    <row r="316" spans="1:19" x14ac:dyDescent="0.25">
      <c r="A316" s="33"/>
      <c r="B316" s="4"/>
      <c r="N316" s="18"/>
      <c r="O316" s="133"/>
      <c r="P316" s="133"/>
      <c r="Q316" s="133"/>
      <c r="R316" s="133"/>
      <c r="S316" s="18"/>
    </row>
    <row r="317" spans="1:19" x14ac:dyDescent="0.25">
      <c r="A317" s="33"/>
      <c r="C317" s="21" t="s">
        <v>5</v>
      </c>
      <c r="D317" s="50" t="s">
        <v>139</v>
      </c>
      <c r="E317" s="21" t="s">
        <v>6</v>
      </c>
      <c r="F317" s="21" t="s">
        <v>7</v>
      </c>
      <c r="G317" s="21" t="s">
        <v>8</v>
      </c>
      <c r="H317" s="21" t="s">
        <v>9</v>
      </c>
      <c r="I317" s="21" t="s">
        <v>10</v>
      </c>
      <c r="J317" s="21" t="s">
        <v>11</v>
      </c>
      <c r="N317" s="18"/>
      <c r="O317" s="18"/>
      <c r="P317" s="18"/>
      <c r="Q317" s="18"/>
      <c r="R317" s="18"/>
      <c r="S317" s="18"/>
    </row>
    <row r="318" spans="1:19" x14ac:dyDescent="0.25">
      <c r="A318" s="33"/>
      <c r="B318" s="34" t="s">
        <v>44</v>
      </c>
      <c r="D318" s="110">
        <f>$C$315*D260*'auction results and rates'!E102</f>
        <v>77.46918204509528</v>
      </c>
      <c r="E318" s="110">
        <f>$C$315*E260*'auction results and rates'!$E$102</f>
        <v>66.478744453922616</v>
      </c>
      <c r="F318" s="110">
        <f>$C$315*F260*'auction results and rates'!$E$102</f>
        <v>79.07753876575471</v>
      </c>
      <c r="G318" s="110">
        <f>$C$315*G260*'auction results and rates'!$E$102</f>
        <v>60.04531757128494</v>
      </c>
      <c r="H318" s="110">
        <f>$C$315*H260*'auction results and rates'!$E$102</f>
        <v>54.617113639059397</v>
      </c>
      <c r="I318" s="110">
        <f>$C$315*I260*'auction results and rates'!$E$102</f>
        <v>39.605784246238166</v>
      </c>
      <c r="J318" s="110">
        <f>$C$315*J260*'auction results and rates'!$E$102</f>
        <v>52.807712328317557</v>
      </c>
      <c r="L318" s="113"/>
      <c r="M318" s="113"/>
      <c r="N318" s="18"/>
      <c r="O318" s="18"/>
      <c r="P318" s="18"/>
      <c r="Q318" s="134"/>
      <c r="R318" s="134"/>
      <c r="S318" s="18"/>
    </row>
    <row r="319" spans="1:19" x14ac:dyDescent="0.25">
      <c r="A319" s="33"/>
      <c r="B319" s="35" t="s">
        <v>134</v>
      </c>
      <c r="D319" s="110">
        <f>$C$315*D261*'auction results and rates'!E102</f>
        <v>87.119322369051801</v>
      </c>
      <c r="E319" s="110"/>
      <c r="F319" s="110"/>
      <c r="G319" s="110"/>
      <c r="H319" s="110"/>
      <c r="I319" s="110"/>
      <c r="J319" s="110"/>
      <c r="N319" s="18"/>
      <c r="O319" s="18"/>
      <c r="P319" s="18"/>
      <c r="Q319" s="18"/>
      <c r="R319" s="18"/>
      <c r="S319" s="18"/>
    </row>
    <row r="320" spans="1:19" x14ac:dyDescent="0.25">
      <c r="A320" s="33"/>
      <c r="B320" s="35" t="s">
        <v>37</v>
      </c>
      <c r="D320" s="110">
        <f>$C$315*D262*'auction results and rates'!E102</f>
        <v>37.662353208774711</v>
      </c>
      <c r="E320" s="110"/>
      <c r="F320" s="110"/>
      <c r="G320" s="110"/>
      <c r="H320" s="110"/>
      <c r="I320" s="110"/>
      <c r="J320" s="110"/>
      <c r="N320" s="18"/>
      <c r="O320" s="18"/>
      <c r="P320" s="18"/>
      <c r="Q320" s="18"/>
      <c r="R320" s="18"/>
      <c r="S320" s="18"/>
    </row>
    <row r="321" spans="1:19" x14ac:dyDescent="0.25">
      <c r="A321" s="33"/>
      <c r="B321" s="7" t="s">
        <v>73</v>
      </c>
      <c r="C321" s="110">
        <f>($C$315*$C$263+C264)*'auction results and rates'!E102</f>
        <v>61.459652358294868</v>
      </c>
      <c r="D321" s="110"/>
      <c r="E321" s="110"/>
      <c r="F321" s="110"/>
      <c r="G321" s="110"/>
      <c r="H321" s="110"/>
      <c r="I321" s="110"/>
      <c r="J321" s="110"/>
      <c r="N321" s="18"/>
      <c r="O321" s="18"/>
      <c r="P321" s="18"/>
      <c r="Q321" s="18"/>
      <c r="R321" s="18"/>
      <c r="S321" s="18"/>
    </row>
    <row r="322" spans="1:19" x14ac:dyDescent="0.25">
      <c r="A322" s="33"/>
      <c r="B322" s="7" t="s">
        <v>74</v>
      </c>
      <c r="C322" s="110">
        <f>($C$315*$C$263+C265)*'auction results and rates'!E102</f>
        <v>70.759514118294874</v>
      </c>
      <c r="D322" s="110"/>
      <c r="E322" s="110"/>
      <c r="F322" s="110"/>
      <c r="G322" s="110"/>
      <c r="H322" s="110"/>
      <c r="I322" s="110"/>
      <c r="J322" s="110"/>
      <c r="N322" s="18"/>
      <c r="O322" s="18"/>
      <c r="P322" s="18"/>
      <c r="Q322" s="18"/>
      <c r="R322" s="18"/>
      <c r="S322" s="18"/>
    </row>
    <row r="323" spans="1:19" x14ac:dyDescent="0.25">
      <c r="A323" s="33"/>
      <c r="B323" s="34" t="s">
        <v>45</v>
      </c>
      <c r="C323" s="110">
        <f>$C$315*C267*'auction results and rates'!E103</f>
        <v>69.04215712048827</v>
      </c>
      <c r="D323" s="110">
        <f>$C$315*D267*'auction results and rates'!E103</f>
        <v>83.195501991010431</v>
      </c>
      <c r="E323" s="110">
        <f>$C$315*E267*'auction results and rates'!$E$103</f>
        <v>66.841847203642416</v>
      </c>
      <c r="F323" s="110">
        <f>$C$315*F267*'auction results and rates'!$E$103</f>
        <v>71.301934872924591</v>
      </c>
      <c r="G323" s="110">
        <f>$C$315*G267*'auction results and rates'!$E$103</f>
        <v>59.527303426019607</v>
      </c>
      <c r="H323" s="110">
        <f>$C$315*H267*'auction results and rates'!$E$103</f>
        <v>53.580519866976694</v>
      </c>
      <c r="I323" s="110">
        <f>$C$315*I267*'auction results and rates'!$E$103</f>
        <v>40.794935215034421</v>
      </c>
      <c r="J323" s="110">
        <f>$C$315*J267*'auction results and rates'!$E$103</f>
        <v>52.153291812806387</v>
      </c>
      <c r="N323" s="18"/>
      <c r="O323" s="18"/>
      <c r="P323" s="18"/>
      <c r="Q323" s="134"/>
      <c r="R323" s="134"/>
      <c r="S323" s="18"/>
    </row>
    <row r="324" spans="1:19" x14ac:dyDescent="0.25">
      <c r="A324" s="33"/>
      <c r="B324" s="35" t="s">
        <v>134</v>
      </c>
      <c r="C324" s="110"/>
      <c r="D324" s="110">
        <f>$C$315*D268*'auction results and rates'!E103</f>
        <v>89.320689056824634</v>
      </c>
      <c r="E324" s="110"/>
      <c r="F324" s="110"/>
      <c r="G324" s="110"/>
      <c r="H324" s="110"/>
      <c r="I324" s="110"/>
      <c r="J324" s="110"/>
      <c r="N324" s="18"/>
      <c r="O324" s="18"/>
      <c r="P324" s="18"/>
      <c r="Q324" s="18"/>
      <c r="R324" s="18"/>
      <c r="S324" s="18"/>
    </row>
    <row r="325" spans="1:19" x14ac:dyDescent="0.25">
      <c r="A325" s="33"/>
      <c r="B325" s="35" t="s">
        <v>37</v>
      </c>
      <c r="C325" s="110"/>
      <c r="D325" s="110">
        <f>$C$315*D269*'auction results and rates'!E103</f>
        <v>39.486642832044986</v>
      </c>
      <c r="E325" s="110"/>
      <c r="F325" s="110"/>
      <c r="G325" s="110"/>
      <c r="H325" s="110"/>
      <c r="I325" s="110"/>
      <c r="J325" s="110"/>
      <c r="N325" s="18"/>
      <c r="O325" s="18"/>
      <c r="P325" s="18"/>
      <c r="Q325" s="18"/>
      <c r="R325" s="18"/>
      <c r="S325" s="18"/>
    </row>
    <row r="326" spans="1:19" x14ac:dyDescent="0.25">
      <c r="A326" s="33"/>
      <c r="B326" s="5" t="s">
        <v>46</v>
      </c>
      <c r="C326" s="110">
        <f t="shared" ref="C326:J326" si="63">$C$315*C270</f>
        <v>67.521115863869667</v>
      </c>
      <c r="D326" s="110">
        <f>$C$315*D270</f>
        <v>59.229049003394444</v>
      </c>
      <c r="E326" s="110">
        <f t="shared" si="63"/>
        <v>66.835305822777741</v>
      </c>
      <c r="F326" s="110">
        <f t="shared" si="63"/>
        <v>74.37921627478903</v>
      </c>
      <c r="G326" s="110">
        <f t="shared" si="63"/>
        <v>59.85251267711439</v>
      </c>
      <c r="H326" s="110">
        <f t="shared" si="63"/>
        <v>54.116646878890926</v>
      </c>
      <c r="I326" s="110">
        <f t="shared" si="63"/>
        <v>40.836870628656172</v>
      </c>
      <c r="J326" s="110">
        <f t="shared" si="63"/>
        <v>52.495641327219076</v>
      </c>
      <c r="N326" s="18"/>
      <c r="O326" s="18"/>
      <c r="P326" s="18"/>
      <c r="Q326" s="134"/>
      <c r="R326" s="134"/>
      <c r="S326" s="18"/>
    </row>
    <row r="327" spans="1:19" x14ac:dyDescent="0.25">
      <c r="A327" s="33"/>
      <c r="C327" s="162"/>
      <c r="D327" s="162"/>
      <c r="E327" s="162"/>
      <c r="F327" s="162"/>
      <c r="G327" s="162"/>
      <c r="H327" s="162"/>
      <c r="I327" s="162"/>
      <c r="J327" s="162"/>
      <c r="N327" s="18"/>
      <c r="O327" s="18"/>
      <c r="P327" s="18"/>
      <c r="Q327" s="135"/>
      <c r="R327" s="135"/>
      <c r="S327" s="18"/>
    </row>
    <row r="328" spans="1:19" x14ac:dyDescent="0.25">
      <c r="A328" s="19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N328" s="18"/>
      <c r="O328" s="18"/>
      <c r="P328" s="18"/>
      <c r="Q328" s="18"/>
      <c r="R328" s="18"/>
      <c r="S328" s="18"/>
    </row>
    <row r="329" spans="1:19" ht="12.75" customHeight="1" x14ac:dyDescent="0.25">
      <c r="A329" s="32" t="s">
        <v>229</v>
      </c>
      <c r="B329" s="17" t="s">
        <v>251</v>
      </c>
      <c r="C329" s="18"/>
      <c r="D329" s="18"/>
      <c r="E329" s="18"/>
      <c r="F329" s="18"/>
      <c r="G329" s="18"/>
      <c r="H329" s="18"/>
      <c r="I329" s="18"/>
      <c r="J329" s="18"/>
      <c r="K329" s="18"/>
      <c r="N329" s="18"/>
      <c r="O329" s="18"/>
      <c r="P329" s="18"/>
      <c r="Q329" s="18"/>
      <c r="R329" s="18"/>
      <c r="S329" s="18"/>
    </row>
    <row r="330" spans="1:19" x14ac:dyDescent="0.25">
      <c r="A330" s="33"/>
      <c r="B330" s="20" t="s">
        <v>270</v>
      </c>
      <c r="C330" s="18"/>
      <c r="D330" s="18"/>
      <c r="E330" s="18"/>
      <c r="F330" s="18"/>
      <c r="G330" s="18"/>
      <c r="H330" s="18"/>
      <c r="I330" s="18"/>
      <c r="J330" s="18"/>
      <c r="K330" s="18"/>
      <c r="N330" s="18"/>
      <c r="O330" s="18"/>
      <c r="P330" s="18"/>
      <c r="Q330" s="18"/>
      <c r="R330" s="18"/>
      <c r="S330" s="18"/>
    </row>
    <row r="331" spans="1:19" x14ac:dyDescent="0.25">
      <c r="A331" s="33"/>
      <c r="B331" s="20" t="s">
        <v>230</v>
      </c>
      <c r="C331" s="18"/>
      <c r="D331" s="18"/>
      <c r="E331" s="18"/>
      <c r="F331" s="18"/>
      <c r="G331" s="18"/>
      <c r="H331" s="18"/>
      <c r="I331" s="18"/>
      <c r="J331" s="18"/>
      <c r="K331" s="18"/>
      <c r="N331" s="18"/>
      <c r="O331" s="18"/>
      <c r="P331" s="18"/>
      <c r="Q331" s="18"/>
      <c r="R331" s="18"/>
      <c r="S331" s="18"/>
    </row>
    <row r="332" spans="1:19" x14ac:dyDescent="0.25">
      <c r="A332" s="33"/>
      <c r="B332" s="114" t="s">
        <v>231</v>
      </c>
      <c r="C332" s="18">
        <f>1/(1-(0.002346061+0.000514087))</f>
        <v>1.0028683519109816</v>
      </c>
      <c r="D332" s="18"/>
      <c r="E332" s="169"/>
      <c r="F332" s="18"/>
      <c r="G332" s="18"/>
      <c r="H332" s="18"/>
      <c r="I332" s="18"/>
      <c r="J332" s="18"/>
      <c r="K332" s="18"/>
      <c r="N332" s="18"/>
      <c r="O332" s="18"/>
      <c r="P332" s="18"/>
      <c r="Q332" s="18"/>
      <c r="R332" s="18"/>
      <c r="S332" s="18"/>
    </row>
    <row r="333" spans="1:19" x14ac:dyDescent="0.25">
      <c r="A333" s="33"/>
      <c r="B333" s="114" t="s">
        <v>232</v>
      </c>
      <c r="C333" s="18"/>
      <c r="D333" s="18"/>
      <c r="E333" s="18"/>
      <c r="F333" s="18"/>
      <c r="G333" s="18"/>
      <c r="H333" s="18"/>
      <c r="I333" s="18"/>
      <c r="J333" s="18"/>
      <c r="K333" s="18"/>
      <c r="N333" s="18"/>
      <c r="O333" s="115"/>
      <c r="P333" s="18"/>
      <c r="Q333" s="18"/>
      <c r="R333" s="18"/>
      <c r="S333" s="18"/>
    </row>
    <row r="334" spans="1:19" x14ac:dyDescent="0.25">
      <c r="A334" s="33"/>
      <c r="B334" s="20"/>
      <c r="C334" s="18"/>
      <c r="D334" s="18"/>
      <c r="E334" s="18"/>
      <c r="F334" s="18"/>
      <c r="G334" s="18"/>
      <c r="H334" s="18"/>
      <c r="I334" s="18"/>
      <c r="J334" s="18"/>
      <c r="K334" s="18"/>
      <c r="N334" s="18"/>
      <c r="O334" s="18"/>
      <c r="P334" s="18"/>
      <c r="Q334" s="18"/>
      <c r="R334" s="18"/>
      <c r="S334" s="18"/>
    </row>
    <row r="335" spans="1:19" x14ac:dyDescent="0.25">
      <c r="A335" s="33"/>
      <c r="B335" s="18"/>
      <c r="C335" s="21" t="s">
        <v>5</v>
      </c>
      <c r="D335" s="21" t="s">
        <v>139</v>
      </c>
      <c r="E335" s="21" t="s">
        <v>6</v>
      </c>
      <c r="F335" s="21" t="s">
        <v>7</v>
      </c>
      <c r="G335" s="21" t="s">
        <v>8</v>
      </c>
      <c r="H335" s="21" t="s">
        <v>9</v>
      </c>
      <c r="I335" s="21" t="s">
        <v>10</v>
      </c>
      <c r="J335" s="21" t="s">
        <v>11</v>
      </c>
      <c r="K335" s="18"/>
      <c r="N335" s="18"/>
      <c r="O335" s="18"/>
      <c r="P335" s="18"/>
      <c r="Q335" s="18"/>
      <c r="R335" s="18"/>
      <c r="S335" s="18"/>
    </row>
    <row r="336" spans="1:19" x14ac:dyDescent="0.25">
      <c r="A336" s="33"/>
      <c r="B336" s="23" t="s">
        <v>44</v>
      </c>
      <c r="C336" s="163"/>
      <c r="D336" s="163"/>
      <c r="E336" s="115">
        <f t="shared" ref="E336:J336" si="64">ROUND((E318*$C$332*1.06625)/1000,6)</f>
        <v>7.1085999999999996E-2</v>
      </c>
      <c r="F336" s="115">
        <f t="shared" si="64"/>
        <v>8.4557999999999994E-2</v>
      </c>
      <c r="G336" s="115">
        <f t="shared" si="64"/>
        <v>6.4207E-2</v>
      </c>
      <c r="H336" s="115">
        <f t="shared" si="64"/>
        <v>5.8402999999999997E-2</v>
      </c>
      <c r="I336" s="115">
        <f t="shared" si="64"/>
        <v>4.2351E-2</v>
      </c>
      <c r="J336" s="115">
        <f t="shared" si="64"/>
        <v>5.6467999999999997E-2</v>
      </c>
      <c r="K336" s="18"/>
    </row>
    <row r="337" spans="1:11" x14ac:dyDescent="0.25">
      <c r="A337" s="33"/>
      <c r="B337" s="116" t="s">
        <v>134</v>
      </c>
      <c r="C337" s="163"/>
      <c r="D337" s="115">
        <f>ROUND((D319*$C$332*1.06625)/1000,6)</f>
        <v>9.3157000000000004E-2</v>
      </c>
      <c r="E337" s="115"/>
      <c r="F337" s="115"/>
      <c r="G337" s="115"/>
      <c r="H337" s="115"/>
      <c r="I337" s="115"/>
      <c r="J337" s="164"/>
      <c r="K337" s="18"/>
    </row>
    <row r="338" spans="1:11" x14ac:dyDescent="0.25">
      <c r="A338" s="33"/>
      <c r="B338" s="116" t="s">
        <v>37</v>
      </c>
      <c r="C338" s="163"/>
      <c r="D338" s="115">
        <f>ROUND((D320*$C$332*1.06625)/1000,6)</f>
        <v>4.0273000000000003E-2</v>
      </c>
      <c r="E338" s="115"/>
      <c r="F338" s="115"/>
      <c r="G338" s="115"/>
      <c r="H338" s="115"/>
      <c r="I338" s="115"/>
      <c r="J338" s="164"/>
      <c r="K338" s="18"/>
    </row>
    <row r="339" spans="1:11" x14ac:dyDescent="0.25">
      <c r="A339" s="33"/>
      <c r="B339" s="73" t="s">
        <v>73</v>
      </c>
      <c r="C339" s="115">
        <f>ROUND((C321*$C$332*1.06625)/1000,6)</f>
        <v>6.5719E-2</v>
      </c>
      <c r="D339" s="115"/>
      <c r="E339" s="115"/>
      <c r="F339" s="115"/>
      <c r="G339" s="115"/>
      <c r="H339" s="115"/>
      <c r="I339" s="115"/>
      <c r="J339" s="18"/>
      <c r="K339" s="18"/>
    </row>
    <row r="340" spans="1:11" x14ac:dyDescent="0.25">
      <c r="A340" s="33"/>
      <c r="B340" s="73" t="s">
        <v>74</v>
      </c>
      <c r="C340" s="115">
        <f>ROUND((C322*$C$332*1.06625)/1000,6)</f>
        <v>7.5663999999999995E-2</v>
      </c>
      <c r="D340" s="115"/>
      <c r="E340" s="115"/>
      <c r="F340" s="115"/>
      <c r="G340" s="115"/>
      <c r="H340" s="115"/>
      <c r="I340" s="115"/>
      <c r="J340" s="18"/>
      <c r="K340" s="18"/>
    </row>
    <row r="341" spans="1:11" x14ac:dyDescent="0.25">
      <c r="A341" s="33"/>
      <c r="B341" s="23" t="s">
        <v>45</v>
      </c>
      <c r="C341" s="115">
        <f>ROUND((C323*$C$332*1.06625)/1000,6)</f>
        <v>7.3827000000000004E-2</v>
      </c>
      <c r="D341" s="115"/>
      <c r="E341" s="115">
        <f t="shared" ref="E341:J341" si="65">ROUND((E323*$C$332*1.06625)/1000,6)</f>
        <v>7.1474999999999997E-2</v>
      </c>
      <c r="F341" s="115">
        <f t="shared" si="65"/>
        <v>7.6244000000000006E-2</v>
      </c>
      <c r="G341" s="115">
        <f t="shared" si="65"/>
        <v>6.3653000000000001E-2</v>
      </c>
      <c r="H341" s="115">
        <f t="shared" si="65"/>
        <v>5.7293999999999998E-2</v>
      </c>
      <c r="I341" s="115">
        <f t="shared" si="65"/>
        <v>4.3622000000000001E-2</v>
      </c>
      <c r="J341" s="115">
        <f t="shared" si="65"/>
        <v>5.5767999999999998E-2</v>
      </c>
      <c r="K341" s="18"/>
    </row>
    <row r="342" spans="1:11" x14ac:dyDescent="0.25">
      <c r="A342" s="33"/>
      <c r="B342" s="116" t="s">
        <v>134</v>
      </c>
      <c r="C342" s="115"/>
      <c r="D342" s="115">
        <f>ROUND((D324*$C$332*1.06625)/1000,6)</f>
        <v>9.5510999999999999E-2</v>
      </c>
      <c r="E342" s="115"/>
      <c r="F342" s="115"/>
      <c r="G342" s="115"/>
      <c r="H342" s="115"/>
      <c r="I342" s="115"/>
      <c r="J342" s="164"/>
      <c r="K342" s="18"/>
    </row>
    <row r="343" spans="1:11" x14ac:dyDescent="0.25">
      <c r="A343" s="33"/>
      <c r="B343" s="116" t="s">
        <v>37</v>
      </c>
      <c r="C343" s="115"/>
      <c r="D343" s="115">
        <f>ROUND((D325*$C$332*1.06625)/1000,6)</f>
        <v>4.2222999999999997E-2</v>
      </c>
      <c r="E343" s="115"/>
      <c r="F343" s="115"/>
      <c r="G343" s="115"/>
      <c r="H343" s="115"/>
      <c r="I343" s="115"/>
      <c r="J343" s="164"/>
      <c r="K343" s="18"/>
    </row>
    <row r="344" spans="1:11" x14ac:dyDescent="0.25">
      <c r="A344" s="33"/>
      <c r="B344" s="18" t="s">
        <v>46</v>
      </c>
      <c r="C344" s="115">
        <f>ROUND((C326*$C$332*1.06625)/1000,6)</f>
        <v>7.2201000000000001E-2</v>
      </c>
      <c r="D344" s="115">
        <f>ROUND((D326*$C$332*1.06625)/1000,6)</f>
        <v>6.3334000000000001E-2</v>
      </c>
      <c r="E344" s="115">
        <f t="shared" ref="E344:J344" si="66">ROUND((E326*$C$332*1.06625)/1000,6)</f>
        <v>7.1468000000000004E-2</v>
      </c>
      <c r="F344" s="115">
        <f t="shared" si="66"/>
        <v>7.9533999999999994E-2</v>
      </c>
      <c r="G344" s="115">
        <f t="shared" si="66"/>
        <v>6.4001000000000002E-2</v>
      </c>
      <c r="H344" s="115">
        <f t="shared" si="66"/>
        <v>5.7867000000000002E-2</v>
      </c>
      <c r="I344" s="115">
        <f t="shared" si="66"/>
        <v>4.3666999999999997E-2</v>
      </c>
      <c r="J344" s="115">
        <f t="shared" si="66"/>
        <v>5.6134000000000003E-2</v>
      </c>
      <c r="K344" s="18"/>
    </row>
    <row r="345" spans="1:11" x14ac:dyDescent="0.25">
      <c r="C345" s="136"/>
    </row>
    <row r="346" spans="1:11" x14ac:dyDescent="0.25">
      <c r="C346" s="136"/>
    </row>
    <row r="347" spans="1:11" x14ac:dyDescent="0.25">
      <c r="D347" s="194"/>
    </row>
    <row r="348" spans="1:11" x14ac:dyDescent="0.25">
      <c r="C348" s="138"/>
    </row>
    <row r="351" spans="1:11" x14ac:dyDescent="0.25">
      <c r="D351" s="108"/>
    </row>
    <row r="352" spans="1:11" x14ac:dyDescent="0.25">
      <c r="D352" s="108"/>
    </row>
    <row r="357" spans="4:4" x14ac:dyDescent="0.25">
      <c r="D357" s="136"/>
    </row>
    <row r="358" spans="4:4" x14ac:dyDescent="0.25">
      <c r="D358" s="136"/>
    </row>
    <row r="359" spans="4:4" x14ac:dyDescent="0.25">
      <c r="D359" s="136"/>
    </row>
    <row r="360" spans="4:4" x14ac:dyDescent="0.25">
      <c r="D360" s="136"/>
    </row>
    <row r="361" spans="4:4" x14ac:dyDescent="0.25">
      <c r="D361" s="136"/>
    </row>
    <row r="362" spans="4:4" x14ac:dyDescent="0.25">
      <c r="D362" s="136"/>
    </row>
    <row r="363" spans="4:4" x14ac:dyDescent="0.25">
      <c r="D363" s="136"/>
    </row>
    <row r="364" spans="4:4" x14ac:dyDescent="0.25">
      <c r="D364" s="136"/>
    </row>
  </sheetData>
  <customSheetViews>
    <customSheetView guid="{689761CC-C80B-4574-9251-22E069AE5A7E}" scale="87" showPageBreaks="1" printArea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1"/>
      <headerFooter alignWithMargins="0">
        <oddHeader>&amp;L&amp;12Atlantic City Electric Company
Attachment 2</oddHeader>
        <oddFooter>&amp;CPage &amp;P of &amp;N</oddFooter>
      </headerFooter>
    </customSheetView>
    <customSheetView guid="{E387223A-F425-4996-A843-D576BB2C4D04}" scale="87" showPageBreaks="1" printArea="1" hiddenRows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2"/>
      <headerFooter alignWithMargins="0">
        <oddHeader>&amp;L&amp;12Atlantic City Electric Company
Attachment 2</oddHeader>
        <oddFooter>&amp;CPage &amp;P of &amp;N</oddFooter>
      </headerFooter>
    </customSheetView>
  </customSheetViews>
  <phoneticPr fontId="10" type="noConversion"/>
  <pageMargins left="0.75" right="0.75" top="1" bottom="1" header="0.5" footer="0.5"/>
  <pageSetup scale="47" orientation="landscape" r:id="rId3"/>
  <headerFooter alignWithMargins="0">
    <oddHeader>&amp;L&amp;"Arial,Bold"Atlantic City Electric Company &amp;"Arial,Regular"
Development of BGS Rates
June 2018 - May 2019
&amp;RAttachment 2
Page &amp;P of &amp;N</oddHeader>
  </headerFooter>
  <rowBreaks count="6" manualBreakCount="6">
    <brk id="58" max="12" man="1"/>
    <brk id="120" max="12" man="1"/>
    <brk id="186" max="12" man="1"/>
    <brk id="231" max="12" man="1"/>
    <brk id="271" max="12" man="1"/>
    <brk id="30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1"/>
  <sheetViews>
    <sheetView topLeftCell="A37" zoomScale="80" zoomScaleNormal="80" workbookViewId="0">
      <selection activeCell="M113" sqref="M113"/>
    </sheetView>
  </sheetViews>
  <sheetFormatPr defaultColWidth="9.109375" defaultRowHeight="13.2" x14ac:dyDescent="0.25"/>
  <cols>
    <col min="1" max="1" width="12.88671875" style="5" customWidth="1"/>
    <col min="2" max="2" width="30.109375" style="5" customWidth="1"/>
    <col min="3" max="5" width="13.109375" style="5" customWidth="1"/>
    <col min="6" max="6" width="11.88671875" style="5" customWidth="1"/>
    <col min="7" max="8" width="10.6640625" style="5" customWidth="1"/>
    <col min="9" max="9" width="11" style="5" customWidth="1"/>
    <col min="10" max="11" width="10.6640625" style="5" customWidth="1"/>
    <col min="12" max="12" width="14.33203125" style="5" bestFit="1" customWidth="1"/>
    <col min="13" max="13" width="9.88671875" style="5" bestFit="1" customWidth="1"/>
    <col min="14" max="14" width="11.5546875" style="5" bestFit="1" customWidth="1"/>
    <col min="15" max="15" width="9.88671875" style="5" bestFit="1" customWidth="1"/>
    <col min="16" max="16" width="11.5546875" style="5" bestFit="1" customWidth="1"/>
    <col min="17" max="17" width="10" style="5" bestFit="1" customWidth="1"/>
    <col min="18" max="18" width="11.5546875" style="5" bestFit="1" customWidth="1"/>
    <col min="19" max="19" width="10" style="5" bestFit="1" customWidth="1"/>
    <col min="20" max="20" width="11.44140625" style="5" bestFit="1" customWidth="1"/>
    <col min="21" max="21" width="9.109375" style="5"/>
    <col min="22" max="22" width="12.33203125" style="5" bestFit="1" customWidth="1"/>
    <col min="23" max="23" width="9.109375" style="5"/>
    <col min="24" max="24" width="11.33203125" style="5" bestFit="1" customWidth="1"/>
    <col min="25" max="16384" width="9.109375" style="5"/>
  </cols>
  <sheetData>
    <row r="1" spans="1:15" x14ac:dyDescent="0.25">
      <c r="A1" s="3" t="s">
        <v>238</v>
      </c>
    </row>
    <row r="2" spans="1:15" x14ac:dyDescent="0.25">
      <c r="A2" s="138" t="s">
        <v>273</v>
      </c>
    </row>
    <row r="3" spans="1:15" x14ac:dyDescent="0.25">
      <c r="A3" s="138" t="s">
        <v>281</v>
      </c>
    </row>
    <row r="5" spans="1:15" x14ac:dyDescent="0.25">
      <c r="A5" s="32" t="s">
        <v>222</v>
      </c>
      <c r="B5" s="3" t="s">
        <v>223</v>
      </c>
    </row>
    <row r="6" spans="1:15" ht="52.8" x14ac:dyDescent="0.25">
      <c r="A6" s="54" t="s">
        <v>166</v>
      </c>
      <c r="B6" s="3" t="s">
        <v>167</v>
      </c>
      <c r="C6" s="139" t="s">
        <v>257</v>
      </c>
      <c r="D6" s="139" t="s">
        <v>274</v>
      </c>
      <c r="E6" s="139" t="s">
        <v>275</v>
      </c>
      <c r="G6" s="139" t="s">
        <v>168</v>
      </c>
    </row>
    <row r="8" spans="1:15" x14ac:dyDescent="0.25">
      <c r="A8" s="54">
        <v>1</v>
      </c>
      <c r="B8" s="5" t="s">
        <v>169</v>
      </c>
      <c r="C8" s="6">
        <v>82.14</v>
      </c>
      <c r="D8" s="6">
        <v>75.489999999999995</v>
      </c>
      <c r="E8" s="6">
        <v>75.489999999999995</v>
      </c>
      <c r="F8" s="108"/>
      <c r="G8" s="5" t="s">
        <v>170</v>
      </c>
      <c r="O8" s="108"/>
    </row>
    <row r="9" spans="1:15" x14ac:dyDescent="0.25">
      <c r="A9" s="54">
        <v>2</v>
      </c>
      <c r="B9" s="138" t="s">
        <v>243</v>
      </c>
      <c r="C9" s="181"/>
      <c r="D9" s="181"/>
      <c r="E9" s="181"/>
      <c r="F9" s="108"/>
      <c r="G9" s="5" t="s">
        <v>280</v>
      </c>
      <c r="O9" s="108"/>
    </row>
    <row r="10" spans="1:15" x14ac:dyDescent="0.25">
      <c r="A10" s="54">
        <v>3</v>
      </c>
      <c r="B10" s="138" t="s">
        <v>29</v>
      </c>
      <c r="C10" s="6">
        <f>C8+C9</f>
        <v>82.14</v>
      </c>
      <c r="D10" s="6">
        <f>D8+D9</f>
        <v>75.489999999999995</v>
      </c>
      <c r="E10" s="6">
        <f>E8+E9</f>
        <v>75.489999999999995</v>
      </c>
      <c r="F10" s="108"/>
      <c r="G10" s="178" t="s">
        <v>256</v>
      </c>
      <c r="O10" s="108"/>
    </row>
    <row r="11" spans="1:15" x14ac:dyDescent="0.25">
      <c r="A11" s="54">
        <v>4</v>
      </c>
      <c r="B11" s="5" t="s">
        <v>171</v>
      </c>
      <c r="C11" s="43">
        <v>7</v>
      </c>
      <c r="D11" s="43">
        <v>8</v>
      </c>
      <c r="E11" s="43">
        <v>7</v>
      </c>
      <c r="G11" s="5" t="s">
        <v>172</v>
      </c>
    </row>
    <row r="12" spans="1:15" x14ac:dyDescent="0.25">
      <c r="A12" s="54">
        <v>5</v>
      </c>
      <c r="B12" s="5" t="s">
        <v>173</v>
      </c>
      <c r="C12" s="43">
        <v>22</v>
      </c>
      <c r="D12" s="43">
        <v>22</v>
      </c>
      <c r="E12" s="43">
        <f>+D12</f>
        <v>22</v>
      </c>
      <c r="G12" s="5" t="s">
        <v>172</v>
      </c>
    </row>
    <row r="13" spans="1:15" x14ac:dyDescent="0.25">
      <c r="A13" s="54"/>
      <c r="C13" s="140"/>
      <c r="D13" s="140"/>
      <c r="E13" s="140"/>
    </row>
    <row r="14" spans="1:15" x14ac:dyDescent="0.25">
      <c r="A14" s="54"/>
      <c r="B14" s="5" t="s">
        <v>174</v>
      </c>
    </row>
    <row r="15" spans="1:15" x14ac:dyDescent="0.25">
      <c r="A15" s="54">
        <v>6</v>
      </c>
      <c r="B15" s="141" t="s">
        <v>175</v>
      </c>
      <c r="C15" s="81">
        <v>1</v>
      </c>
      <c r="D15" s="81">
        <v>1</v>
      </c>
      <c r="E15" s="142">
        <f>'June 18 - May 19'!M291</f>
        <v>1</v>
      </c>
      <c r="G15" s="5" t="s">
        <v>176</v>
      </c>
      <c r="K15" s="81"/>
    </row>
    <row r="16" spans="1:15" x14ac:dyDescent="0.25">
      <c r="A16" s="54">
        <v>7</v>
      </c>
      <c r="B16" s="141" t="s">
        <v>177</v>
      </c>
      <c r="C16" s="81">
        <v>1</v>
      </c>
      <c r="D16" s="81">
        <v>1</v>
      </c>
      <c r="E16" s="142">
        <f>'June 18 - May 19'!M292</f>
        <v>1</v>
      </c>
      <c r="G16" s="5" t="s">
        <v>176</v>
      </c>
      <c r="K16" s="81"/>
    </row>
    <row r="17" spans="1:7" x14ac:dyDescent="0.25">
      <c r="A17" s="54"/>
    </row>
    <row r="18" spans="1:7" x14ac:dyDescent="0.25">
      <c r="A18" s="54"/>
      <c r="B18" s="5" t="s">
        <v>178</v>
      </c>
    </row>
    <row r="19" spans="1:7" x14ac:dyDescent="0.25">
      <c r="A19" s="54">
        <v>8</v>
      </c>
      <c r="B19" s="5" t="s">
        <v>179</v>
      </c>
      <c r="C19" s="44">
        <f>SUMPRODUCT('June 18 - May 19'!O$48:V$48,'June 18 - May 19'!C$84:J$84)</f>
        <v>2380201.8702720385</v>
      </c>
      <c r="D19" s="44"/>
      <c r="E19" s="45"/>
      <c r="G19" s="5" t="s">
        <v>180</v>
      </c>
    </row>
    <row r="20" spans="1:7" x14ac:dyDescent="0.25">
      <c r="A20" s="54">
        <v>9</v>
      </c>
      <c r="B20" s="5" t="s">
        <v>181</v>
      </c>
      <c r="C20" s="44">
        <f>SUMPRODUCT('June 18 - May 19'!O$45:V$45,'June 18 - May 19'!C$84:J$84)</f>
        <v>3429896.4485095046</v>
      </c>
      <c r="D20" s="44"/>
      <c r="E20" s="45"/>
    </row>
    <row r="21" spans="1:7" x14ac:dyDescent="0.25">
      <c r="A21" s="54"/>
      <c r="D21" s="38"/>
    </row>
    <row r="22" spans="1:7" x14ac:dyDescent="0.25">
      <c r="A22" s="54"/>
      <c r="B22" s="5" t="s">
        <v>182</v>
      </c>
    </row>
    <row r="23" spans="1:7" x14ac:dyDescent="0.25">
      <c r="A23" s="54">
        <v>10</v>
      </c>
      <c r="B23" s="141" t="s">
        <v>175</v>
      </c>
      <c r="C23" s="55">
        <f>(+C$8*C$11/C$12*C15*$C19/1000)+(C$9*C$11/C$12*$C19/1000)</f>
        <v>62207.657789500765</v>
      </c>
      <c r="D23" s="55">
        <f t="shared" ref="D23:E23" si="0">(+D$8*D$11/D$12*D15*$C19/1000)+(D$9*D$11/D$12*$C19/1000)</f>
        <v>65338.705158849523</v>
      </c>
      <c r="E23" s="55">
        <f t="shared" si="0"/>
        <v>57171.367013993324</v>
      </c>
      <c r="G23" s="178" t="s">
        <v>254</v>
      </c>
    </row>
    <row r="24" spans="1:7" x14ac:dyDescent="0.25">
      <c r="A24" s="54">
        <v>11</v>
      </c>
      <c r="B24" s="141" t="s">
        <v>177</v>
      </c>
      <c r="C24" s="184">
        <f>(+C$8*C$11/C$12*C16*$C20/1000)+(C$9*C$11/C$12*$C20/1000)</f>
        <v>89641.902725636144</v>
      </c>
      <c r="D24" s="184">
        <f>(+D$8*D$11/D$12*D16*$C20/1000)+(D$9*D$11/D$12*$C20/1000)</f>
        <v>94153.775599266359</v>
      </c>
      <c r="E24" s="184">
        <f>(+E$8*E$11/E$12*E16*$C20/1000)+(E$9*E$11/E$12*$C20/1000)</f>
        <v>82384.553649358044</v>
      </c>
      <c r="G24" s="178" t="s">
        <v>255</v>
      </c>
    </row>
    <row r="25" spans="1:7" x14ac:dyDescent="0.25">
      <c r="A25" s="54">
        <v>12</v>
      </c>
      <c r="B25" s="5" t="s">
        <v>183</v>
      </c>
      <c r="C25" s="41">
        <f>+C24+C23</f>
        <v>151849.56051513692</v>
      </c>
      <c r="D25" s="41">
        <f>+D24+D23</f>
        <v>159492.48075811588</v>
      </c>
      <c r="E25" s="41">
        <f>+E24+E23</f>
        <v>139555.92066335137</v>
      </c>
    </row>
    <row r="26" spans="1:7" x14ac:dyDescent="0.25">
      <c r="A26" s="54"/>
    </row>
    <row r="27" spans="1:7" x14ac:dyDescent="0.25">
      <c r="A27" s="54"/>
      <c r="B27" s="5" t="s">
        <v>184</v>
      </c>
    </row>
    <row r="28" spans="1:7" x14ac:dyDescent="0.25">
      <c r="A28" s="54">
        <v>13</v>
      </c>
      <c r="B28" s="141" t="s">
        <v>175</v>
      </c>
      <c r="C28" s="143">
        <f>ROUND(+SUM(C23:E23)/C19*1000,3)</f>
        <v>77.605999999999995</v>
      </c>
      <c r="D28" s="109"/>
      <c r="G28" s="178" t="s">
        <v>244</v>
      </c>
    </row>
    <row r="29" spans="1:7" x14ac:dyDescent="0.25">
      <c r="A29" s="54">
        <v>14</v>
      </c>
      <c r="B29" s="141" t="s">
        <v>177</v>
      </c>
      <c r="C29" s="130">
        <f>ROUND(+SUM(C24:E24)/C20*1000,3)</f>
        <v>77.605999999999995</v>
      </c>
      <c r="G29" s="178" t="s">
        <v>245</v>
      </c>
    </row>
    <row r="30" spans="1:7" x14ac:dyDescent="0.25">
      <c r="A30" s="54"/>
      <c r="B30" s="141"/>
      <c r="C30" s="144"/>
      <c r="G30" s="105"/>
    </row>
    <row r="31" spans="1:7" x14ac:dyDescent="0.25">
      <c r="A31" s="54">
        <v>15</v>
      </c>
      <c r="B31" s="5" t="s">
        <v>185</v>
      </c>
      <c r="C31" s="145">
        <f>ROUND(+SUM(C25:E25)/(C19+C20)*1000,3)</f>
        <v>77.605999999999995</v>
      </c>
      <c r="D31" s="5" t="s">
        <v>186</v>
      </c>
      <c r="G31" s="178" t="s">
        <v>246</v>
      </c>
    </row>
    <row r="32" spans="1:7" x14ac:dyDescent="0.25">
      <c r="D32" s="5" t="s">
        <v>187</v>
      </c>
      <c r="G32" s="5" t="s">
        <v>188</v>
      </c>
    </row>
    <row r="33" spans="1:13" x14ac:dyDescent="0.25">
      <c r="C33" s="109"/>
    </row>
    <row r="34" spans="1:13" x14ac:dyDescent="0.25">
      <c r="B34" s="27" t="s">
        <v>189</v>
      </c>
      <c r="D34" s="109"/>
    </row>
    <row r="35" spans="1:13" x14ac:dyDescent="0.25">
      <c r="A35" s="54">
        <v>16</v>
      </c>
      <c r="B35" s="7" t="s">
        <v>190</v>
      </c>
      <c r="C35" s="41">
        <f>(C31*(C20+C19))/1000</f>
        <v>450898.49012736045</v>
      </c>
      <c r="D35" s="109"/>
      <c r="G35" s="178" t="s">
        <v>247</v>
      </c>
    </row>
    <row r="36" spans="1:13" ht="15" x14ac:dyDescent="0.4">
      <c r="A36" s="54">
        <v>17</v>
      </c>
      <c r="B36" s="7" t="s">
        <v>191</v>
      </c>
      <c r="C36" s="57">
        <f>SUM(C25:E25)</f>
        <v>450897.96193660417</v>
      </c>
      <c r="D36" s="109"/>
      <c r="G36" s="105" t="s">
        <v>192</v>
      </c>
    </row>
    <row r="37" spans="1:13" x14ac:dyDescent="0.25">
      <c r="A37" s="54">
        <v>18</v>
      </c>
      <c r="B37" s="7" t="s">
        <v>193</v>
      </c>
      <c r="C37" s="55">
        <f>+C35-C36</f>
        <v>0.5281907562748529</v>
      </c>
      <c r="D37" s="109"/>
      <c r="G37" s="178" t="s">
        <v>248</v>
      </c>
    </row>
    <row r="38" spans="1:13" x14ac:dyDescent="0.25">
      <c r="B38" s="7"/>
      <c r="D38" s="109"/>
    </row>
    <row r="40" spans="1:13" x14ac:dyDescent="0.25">
      <c r="A40" s="32" t="s">
        <v>224</v>
      </c>
      <c r="B40" s="3" t="s">
        <v>194</v>
      </c>
      <c r="G40" s="4" t="s">
        <v>195</v>
      </c>
    </row>
    <row r="41" spans="1:13" x14ac:dyDescent="0.25">
      <c r="A41" s="33"/>
      <c r="B41" s="3"/>
      <c r="G41" s="4" t="s">
        <v>213</v>
      </c>
    </row>
    <row r="42" spans="1:13" x14ac:dyDescent="0.25">
      <c r="B42" s="3"/>
    </row>
    <row r="43" spans="1:13" x14ac:dyDescent="0.25">
      <c r="B43" s="4" t="s">
        <v>269</v>
      </c>
    </row>
    <row r="44" spans="1:13" x14ac:dyDescent="0.25">
      <c r="B44" s="3"/>
    </row>
    <row r="45" spans="1:13" x14ac:dyDescent="0.25">
      <c r="C45" s="28" t="s">
        <v>5</v>
      </c>
      <c r="D45" s="28" t="s">
        <v>139</v>
      </c>
      <c r="E45" s="28" t="s">
        <v>6</v>
      </c>
      <c r="F45" s="28" t="s">
        <v>7</v>
      </c>
      <c r="G45" s="28" t="s">
        <v>8</v>
      </c>
      <c r="H45" s="28" t="s">
        <v>9</v>
      </c>
      <c r="I45" s="28" t="s">
        <v>10</v>
      </c>
      <c r="J45" s="28" t="s">
        <v>11</v>
      </c>
      <c r="K45" s="28" t="s">
        <v>29</v>
      </c>
    </row>
    <row r="46" spans="1:13" x14ac:dyDescent="0.25">
      <c r="C46" s="28"/>
      <c r="D46" s="28"/>
      <c r="E46" s="28"/>
      <c r="F46" s="28"/>
      <c r="G46" s="28"/>
    </row>
    <row r="47" spans="1:13" x14ac:dyDescent="0.25">
      <c r="B47" s="34" t="s">
        <v>44</v>
      </c>
      <c r="D47" s="180">
        <f>'June 18 - May 19'!D218</f>
        <v>1.3009999999999999</v>
      </c>
      <c r="E47" s="3">
        <f>'June 18 - May 19'!E218</f>
        <v>0.99</v>
      </c>
      <c r="F47" s="3">
        <f>'June 18 - May 19'!F218</f>
        <v>1.204</v>
      </c>
      <c r="G47" s="3">
        <f>'June 18 - May 19'!G218</f>
        <v>0.85199999999999998</v>
      </c>
      <c r="H47" s="3">
        <f>'June 18 - May 19'!H218</f>
        <v>0.748</v>
      </c>
      <c r="I47" s="3">
        <f>'June 18 - May 19'!I218</f>
        <v>0.46800000000000003</v>
      </c>
      <c r="J47" s="3">
        <f>'June 18 - May 19'!J218</f>
        <v>0.71</v>
      </c>
      <c r="K47" s="46"/>
      <c r="L47" s="46"/>
      <c r="M47" s="46"/>
    </row>
    <row r="48" spans="1:13" x14ac:dyDescent="0.25">
      <c r="B48" s="35" t="s">
        <v>134</v>
      </c>
      <c r="D48" s="180">
        <f>'June 18 - May 19'!D219</f>
        <v>1.4159999999999999</v>
      </c>
      <c r="E48" s="3"/>
      <c r="F48" s="3"/>
      <c r="G48" s="3"/>
      <c r="H48" s="3"/>
      <c r="I48" s="3"/>
      <c r="J48" s="3"/>
      <c r="K48" s="46"/>
      <c r="L48" s="46"/>
      <c r="M48" s="46"/>
    </row>
    <row r="49" spans="1:13" x14ac:dyDescent="0.25">
      <c r="B49" s="35" t="s">
        <v>37</v>
      </c>
      <c r="D49" s="180">
        <f>'June 18 - May 19'!D220</f>
        <v>0.44400000000000001</v>
      </c>
      <c r="E49" s="3"/>
      <c r="F49" s="3"/>
      <c r="G49" s="3"/>
      <c r="H49" s="3"/>
      <c r="I49" s="3"/>
      <c r="J49" s="3"/>
      <c r="K49" s="49"/>
      <c r="L49" s="46"/>
      <c r="M49" s="46"/>
    </row>
    <row r="50" spans="1:13" x14ac:dyDescent="0.25">
      <c r="E50" s="25"/>
      <c r="F50" s="47"/>
      <c r="G50" s="47"/>
      <c r="L50" s="46"/>
      <c r="M50" s="46"/>
    </row>
    <row r="51" spans="1:13" x14ac:dyDescent="0.25">
      <c r="B51" s="14" t="s">
        <v>91</v>
      </c>
      <c r="C51" s="30">
        <f>'June 18 - May 19'!C221</f>
        <v>1.0169999999999999</v>
      </c>
      <c r="D51" s="30"/>
      <c r="E51" s="25"/>
      <c r="F51" s="47"/>
      <c r="G51" s="47"/>
      <c r="H51" s="47"/>
      <c r="I51" s="47"/>
      <c r="J51" s="47"/>
      <c r="K51" s="46"/>
      <c r="L51" s="46"/>
      <c r="M51" s="46"/>
    </row>
    <row r="52" spans="1:13" x14ac:dyDescent="0.25">
      <c r="B52" s="14" t="s">
        <v>92</v>
      </c>
      <c r="C52" s="30">
        <f>'June 18 - May 19'!C222</f>
        <v>-3.6095558746036716</v>
      </c>
      <c r="D52" s="30"/>
      <c r="E52" s="42" t="s">
        <v>93</v>
      </c>
      <c r="F52" s="47"/>
      <c r="G52" s="47"/>
      <c r="H52" s="47"/>
      <c r="I52" s="47"/>
      <c r="J52" s="47"/>
      <c r="K52" s="46"/>
      <c r="L52" s="46"/>
      <c r="M52" s="46"/>
    </row>
    <row r="53" spans="1:13" x14ac:dyDescent="0.25">
      <c r="B53" s="14" t="s">
        <v>92</v>
      </c>
      <c r="C53" s="30">
        <f>'June 18 - May 19'!C223</f>
        <v>5.0424441253963295</v>
      </c>
      <c r="D53" s="30"/>
      <c r="E53" s="42" t="s">
        <v>94</v>
      </c>
      <c r="F53" s="47"/>
      <c r="G53" s="47"/>
      <c r="H53" s="47"/>
      <c r="I53" s="47"/>
      <c r="J53" s="47"/>
      <c r="K53" s="46"/>
      <c r="L53" s="46"/>
      <c r="M53" s="46"/>
    </row>
    <row r="54" spans="1:13" x14ac:dyDescent="0.25">
      <c r="G54" s="47"/>
      <c r="H54" s="47"/>
      <c r="I54" s="47"/>
      <c r="J54" s="47"/>
      <c r="K54" s="46"/>
      <c r="L54" s="46"/>
      <c r="M54" s="46"/>
    </row>
    <row r="55" spans="1:13" x14ac:dyDescent="0.25">
      <c r="H55" s="47"/>
      <c r="I55" s="47"/>
      <c r="J55" s="47"/>
      <c r="K55" s="46"/>
      <c r="L55" s="46"/>
      <c r="M55" s="46"/>
    </row>
    <row r="56" spans="1:13" x14ac:dyDescent="0.25">
      <c r="C56" s="47"/>
      <c r="D56" s="47"/>
      <c r="E56" s="47"/>
      <c r="F56" s="47"/>
      <c r="G56" s="47"/>
      <c r="H56" s="47"/>
      <c r="I56" s="47"/>
      <c r="J56" s="47"/>
      <c r="K56" s="46"/>
      <c r="L56" s="46"/>
      <c r="M56" s="46"/>
    </row>
    <row r="57" spans="1:13" x14ac:dyDescent="0.25">
      <c r="B57" s="34" t="s">
        <v>45</v>
      </c>
      <c r="C57" s="30">
        <f>'June 18 - May 19'!C225</f>
        <v>1.1639999999999999</v>
      </c>
      <c r="D57" s="30">
        <f>'June 18 - May 19'!D225</f>
        <v>1.4930000000000001</v>
      </c>
      <c r="E57" s="30">
        <f>'June 18 - May 19'!E225</f>
        <v>1.0940000000000001</v>
      </c>
      <c r="F57" s="30">
        <f>'June 18 - May 19'!F225</f>
        <v>1.218</v>
      </c>
      <c r="G57" s="30">
        <f>'June 18 - May 19'!G225</f>
        <v>0.93500000000000005</v>
      </c>
      <c r="H57" s="30">
        <f>'June 18 - May 19'!H225</f>
        <v>0.81599999999999995</v>
      </c>
      <c r="I57" s="30">
        <f>'June 18 - May 19'!I225</f>
        <v>0.54300000000000004</v>
      </c>
      <c r="J57" s="30">
        <f>'June 18 - May 19'!J225</f>
        <v>0.78</v>
      </c>
      <c r="K57" s="46"/>
      <c r="L57" s="46"/>
      <c r="M57" s="46"/>
    </row>
    <row r="58" spans="1:13" x14ac:dyDescent="0.25">
      <c r="B58" s="35" t="s">
        <v>134</v>
      </c>
      <c r="C58" s="30"/>
      <c r="D58" s="30">
        <f>'June 18 - May 19'!D226</f>
        <v>1.575</v>
      </c>
      <c r="E58" s="30"/>
      <c r="F58" s="30"/>
      <c r="G58" s="30"/>
      <c r="H58" s="30"/>
      <c r="I58" s="30"/>
      <c r="J58" s="30"/>
      <c r="K58" s="46"/>
      <c r="L58" s="46"/>
      <c r="M58" s="46"/>
    </row>
    <row r="59" spans="1:13" x14ac:dyDescent="0.25">
      <c r="B59" s="35" t="s">
        <v>37</v>
      </c>
      <c r="C59" s="30"/>
      <c r="D59" s="30">
        <f>'June 18 - May 19'!D227</f>
        <v>0.52500000000000002</v>
      </c>
      <c r="E59" s="30"/>
      <c r="F59" s="30"/>
      <c r="G59" s="30"/>
      <c r="H59" s="30"/>
      <c r="I59" s="30"/>
      <c r="J59" s="30"/>
      <c r="K59" s="49"/>
      <c r="L59" s="46"/>
      <c r="M59" s="46"/>
    </row>
    <row r="60" spans="1:13" x14ac:dyDescent="0.25">
      <c r="C60" s="51"/>
      <c r="D60" s="51"/>
      <c r="E60" s="51"/>
      <c r="F60" s="51"/>
      <c r="G60" s="51"/>
      <c r="K60" s="46"/>
      <c r="L60" s="46"/>
      <c r="M60" s="46"/>
    </row>
    <row r="61" spans="1:13" x14ac:dyDescent="0.25">
      <c r="B61" s="5" t="s">
        <v>196</v>
      </c>
      <c r="C61" s="59">
        <f>'June 18 - May 19'!C229</f>
        <v>1.1020000000000001</v>
      </c>
      <c r="D61" s="59">
        <f>'June 18 - May 19'!D229</f>
        <v>0.91</v>
      </c>
      <c r="E61" s="59">
        <f>'June 18 - May 19'!E229</f>
        <v>1.0529999999999999</v>
      </c>
      <c r="F61" s="59">
        <f>'June 18 - May 19'!F229</f>
        <v>1.214</v>
      </c>
      <c r="G61" s="59">
        <f>'June 18 - May 19'!G229</f>
        <v>0.90300000000000002</v>
      </c>
      <c r="H61" s="59">
        <f>'June 18 - May 19'!H229</f>
        <v>0.79</v>
      </c>
      <c r="I61" s="59">
        <f>'June 18 - May 19'!I229</f>
        <v>0.51800000000000002</v>
      </c>
      <c r="J61" s="59">
        <f>'June 18 - May 19'!J229</f>
        <v>0.752</v>
      </c>
      <c r="K61" s="46"/>
      <c r="L61" s="46"/>
      <c r="M61" s="46"/>
    </row>
    <row r="64" spans="1:13" x14ac:dyDescent="0.25">
      <c r="A64" s="146" t="s">
        <v>216</v>
      </c>
      <c r="B64" s="53" t="s">
        <v>217</v>
      </c>
      <c r="C64" s="46"/>
      <c r="E64" s="46"/>
    </row>
    <row r="65" spans="2:13" x14ac:dyDescent="0.25">
      <c r="B65" s="4" t="s">
        <v>197</v>
      </c>
    </row>
    <row r="67" spans="2:13" x14ac:dyDescent="0.25">
      <c r="B67" s="4" t="s">
        <v>269</v>
      </c>
    </row>
    <row r="68" spans="2:13" x14ac:dyDescent="0.25">
      <c r="B68" s="3"/>
    </row>
    <row r="69" spans="2:13" x14ac:dyDescent="0.25">
      <c r="C69" s="28" t="str">
        <f t="shared" ref="C69:J69" si="1">+C45</f>
        <v>RS</v>
      </c>
      <c r="D69" s="28" t="str">
        <f t="shared" si="1"/>
        <v>RS TOU - BGS</v>
      </c>
      <c r="E69" s="28" t="str">
        <f t="shared" si="1"/>
        <v>MGS - SEC</v>
      </c>
      <c r="F69" s="28" t="str">
        <f t="shared" si="1"/>
        <v>MGS - PRI</v>
      </c>
      <c r="G69" s="28" t="str">
        <f t="shared" si="1"/>
        <v>AGS - SEC</v>
      </c>
      <c r="H69" s="28" t="str">
        <f t="shared" si="1"/>
        <v>AGS - PRI</v>
      </c>
      <c r="I69" s="28" t="str">
        <f t="shared" si="1"/>
        <v>SPL/CSL</v>
      </c>
      <c r="J69" s="28" t="str">
        <f t="shared" si="1"/>
        <v>DDC</v>
      </c>
    </row>
    <row r="70" spans="2:13" x14ac:dyDescent="0.25">
      <c r="C70" s="146"/>
      <c r="D70" s="146"/>
      <c r="E70" s="146"/>
      <c r="F70" s="147"/>
      <c r="G70" s="147"/>
      <c r="H70" s="147"/>
      <c r="I70" s="147"/>
      <c r="J70" s="147"/>
    </row>
    <row r="71" spans="2:13" x14ac:dyDescent="0.25">
      <c r="B71" s="34" t="s">
        <v>44</v>
      </c>
      <c r="C71" s="147"/>
      <c r="D71" s="147">
        <f>ROUND(($C$31*D47)/10,4)</f>
        <v>10.096500000000001</v>
      </c>
      <c r="E71" s="147">
        <f t="shared" ref="E71:J71" si="2">ROUND(($C$31*E47)/10,4)</f>
        <v>7.6829999999999998</v>
      </c>
      <c r="F71" s="147">
        <f t="shared" si="2"/>
        <v>9.3437999999999999</v>
      </c>
      <c r="G71" s="147">
        <f t="shared" si="2"/>
        <v>6.6120000000000001</v>
      </c>
      <c r="H71" s="147">
        <f t="shared" si="2"/>
        <v>5.8048999999999999</v>
      </c>
      <c r="I71" s="147">
        <f t="shared" si="2"/>
        <v>3.6320000000000001</v>
      </c>
      <c r="J71" s="147">
        <f t="shared" si="2"/>
        <v>5.51</v>
      </c>
      <c r="L71" s="46"/>
      <c r="M71" s="46"/>
    </row>
    <row r="72" spans="2:13" x14ac:dyDescent="0.25">
      <c r="B72" s="35" t="s">
        <v>134</v>
      </c>
      <c r="C72" s="146"/>
      <c r="D72" s="147">
        <f>ROUND(($C$31*D48)/10,4)</f>
        <v>10.989000000000001</v>
      </c>
      <c r="E72" s="147"/>
      <c r="F72" s="146"/>
      <c r="G72" s="146"/>
      <c r="H72" s="146"/>
      <c r="I72" s="146"/>
      <c r="J72" s="146"/>
      <c r="L72" s="46"/>
      <c r="M72" s="46"/>
    </row>
    <row r="73" spans="2:13" x14ac:dyDescent="0.25">
      <c r="B73" s="35" t="s">
        <v>37</v>
      </c>
      <c r="C73" s="146"/>
      <c r="D73" s="147">
        <f>ROUND(($C$31*D49)/10,4)</f>
        <v>3.4457</v>
      </c>
      <c r="E73" s="147"/>
      <c r="F73" s="146"/>
      <c r="G73" s="146"/>
      <c r="H73" s="146"/>
      <c r="I73" s="146"/>
      <c r="J73" s="146"/>
      <c r="L73" s="46"/>
      <c r="M73" s="46"/>
    </row>
    <row r="74" spans="2:13" x14ac:dyDescent="0.25">
      <c r="B74" s="50"/>
      <c r="C74" s="146"/>
      <c r="D74" s="146"/>
      <c r="E74" s="146"/>
      <c r="F74" s="146"/>
      <c r="G74" s="146"/>
      <c r="H74" s="146"/>
      <c r="I74" s="146"/>
      <c r="J74" s="146"/>
      <c r="L74" s="46"/>
      <c r="M74" s="46"/>
    </row>
    <row r="75" spans="2:13" x14ac:dyDescent="0.25">
      <c r="B75" s="42" t="s">
        <v>93</v>
      </c>
      <c r="C75" s="147">
        <f>ROUND((+$C$31*C51+C52)/10,4)</f>
        <v>7.5316000000000001</v>
      </c>
      <c r="D75" s="147"/>
      <c r="E75" s="146"/>
      <c r="F75" s="146"/>
      <c r="G75" s="146"/>
      <c r="H75" s="146"/>
      <c r="I75" s="146"/>
      <c r="J75" s="146"/>
      <c r="L75" s="46"/>
      <c r="M75" s="46"/>
    </row>
    <row r="76" spans="2:13" x14ac:dyDescent="0.25">
      <c r="B76" s="42" t="s">
        <v>94</v>
      </c>
      <c r="C76" s="147">
        <f>ROUND((+$C$31*C51+C53)/10,4)</f>
        <v>8.3968000000000007</v>
      </c>
      <c r="D76" s="147"/>
      <c r="E76" s="146"/>
      <c r="F76" s="146"/>
      <c r="G76" s="146"/>
      <c r="H76" s="146"/>
      <c r="I76" s="146"/>
      <c r="J76" s="146"/>
      <c r="L76" s="46"/>
      <c r="M76" s="46"/>
    </row>
    <row r="77" spans="2:13" x14ac:dyDescent="0.25">
      <c r="C77" s="147"/>
      <c r="D77" s="147"/>
      <c r="E77" s="146"/>
      <c r="F77" s="146"/>
      <c r="G77" s="146"/>
      <c r="H77" s="146"/>
      <c r="I77" s="146"/>
      <c r="J77" s="146"/>
      <c r="L77" s="46"/>
      <c r="M77" s="46"/>
    </row>
    <row r="78" spans="2:13" x14ac:dyDescent="0.25">
      <c r="B78" s="34" t="s">
        <v>45</v>
      </c>
      <c r="C78" s="147">
        <f>ROUND(($C$31*C57)/10,4)</f>
        <v>9.0333000000000006</v>
      </c>
      <c r="D78" s="147">
        <f t="shared" ref="D78:I78" si="3">ROUND(($C$31*D57)/10,4)</f>
        <v>11.586600000000001</v>
      </c>
      <c r="E78" s="147">
        <f t="shared" si="3"/>
        <v>8.4901</v>
      </c>
      <c r="F78" s="147">
        <f t="shared" si="3"/>
        <v>9.4524000000000008</v>
      </c>
      <c r="G78" s="147">
        <f t="shared" si="3"/>
        <v>7.2561999999999998</v>
      </c>
      <c r="H78" s="147">
        <f t="shared" si="3"/>
        <v>6.3326000000000002</v>
      </c>
      <c r="I78" s="147">
        <f t="shared" si="3"/>
        <v>4.2140000000000004</v>
      </c>
      <c r="J78" s="147">
        <f>ROUND(($C$31*J57)/10,4)</f>
        <v>6.0533000000000001</v>
      </c>
      <c r="L78" s="46"/>
      <c r="M78" s="46"/>
    </row>
    <row r="79" spans="2:13" x14ac:dyDescent="0.25">
      <c r="B79" s="35" t="s">
        <v>134</v>
      </c>
      <c r="C79" s="146"/>
      <c r="D79" s="147">
        <f>ROUND(($C$31*D58)/10,4)</f>
        <v>12.222899999999999</v>
      </c>
      <c r="E79" s="147"/>
      <c r="F79" s="146"/>
      <c r="G79" s="146"/>
      <c r="H79" s="146"/>
      <c r="I79" s="146"/>
      <c r="J79" s="146"/>
      <c r="L79" s="46"/>
      <c r="M79" s="46"/>
    </row>
    <row r="80" spans="2:13" x14ac:dyDescent="0.25">
      <c r="B80" s="35" t="s">
        <v>37</v>
      </c>
      <c r="C80" s="146"/>
      <c r="D80" s="147">
        <f>ROUND(($C$31*D59)/10,4)</f>
        <v>4.0743</v>
      </c>
      <c r="E80" s="147"/>
      <c r="F80" s="146"/>
      <c r="G80" s="146"/>
      <c r="H80" s="146"/>
      <c r="I80" s="146"/>
      <c r="J80" s="146"/>
      <c r="L80" s="46"/>
      <c r="M80" s="46"/>
    </row>
    <row r="81" spans="1:24" x14ac:dyDescent="0.25">
      <c r="C81" s="52"/>
      <c r="D81" s="48"/>
      <c r="E81" s="52"/>
      <c r="F81" s="48"/>
    </row>
    <row r="83" spans="1:24" x14ac:dyDescent="0.25">
      <c r="A83" s="146" t="s">
        <v>214</v>
      </c>
      <c r="B83" s="3" t="s">
        <v>215</v>
      </c>
      <c r="C83" s="46"/>
      <c r="E83" s="46"/>
    </row>
    <row r="84" spans="1:24" x14ac:dyDescent="0.25">
      <c r="C84" s="46"/>
      <c r="E84" s="46"/>
    </row>
    <row r="85" spans="1:24" x14ac:dyDescent="0.25">
      <c r="C85" s="28" t="str">
        <f>C69</f>
        <v>RS</v>
      </c>
      <c r="D85" s="28" t="str">
        <f t="shared" ref="D85:J85" si="4">D69</f>
        <v>RS TOU - BGS</v>
      </c>
      <c r="E85" s="28" t="str">
        <f t="shared" si="4"/>
        <v>MGS - SEC</v>
      </c>
      <c r="F85" s="28" t="str">
        <f t="shared" si="4"/>
        <v>MGS - PRI</v>
      </c>
      <c r="G85" s="28" t="str">
        <f t="shared" si="4"/>
        <v>AGS - SEC</v>
      </c>
      <c r="H85" s="28" t="str">
        <f t="shared" si="4"/>
        <v>AGS - PRI</v>
      </c>
      <c r="I85" s="28" t="str">
        <f t="shared" si="4"/>
        <v>SPL/CSL</v>
      </c>
      <c r="J85" s="28" t="str">
        <f t="shared" si="4"/>
        <v>DDC</v>
      </c>
      <c r="K85" s="22"/>
      <c r="L85" s="22"/>
    </row>
    <row r="86" spans="1:24" x14ac:dyDescent="0.25">
      <c r="B86" s="5" t="s">
        <v>164</v>
      </c>
      <c r="K86" s="18"/>
      <c r="L86" s="18"/>
    </row>
    <row r="87" spans="1:24" x14ac:dyDescent="0.25">
      <c r="B87" s="54" t="s">
        <v>63</v>
      </c>
      <c r="C87" s="55">
        <f>+C75/100*'June 18 - May 19'!$O52+C76/100*'June 18 - May 19'!$O53</f>
        <v>125406.28635697841</v>
      </c>
      <c r="D87" s="55">
        <f>(D72/100*'June 18 - May 19'!$P49)+(D73/100*'June 18 - May 19'!$P50)</f>
        <v>86.269291194373935</v>
      </c>
      <c r="E87" s="56">
        <f>E71/100*'June 18 - May 19'!$Q48</f>
        <v>22094.441128353908</v>
      </c>
      <c r="F87" s="56">
        <f>F71/100*'June 18 - May 19'!R48</f>
        <v>276.02974087593469</v>
      </c>
      <c r="G87" s="56">
        <f>G71/100*'June 18 - May 19'!$S48</f>
        <v>22142.476119472645</v>
      </c>
      <c r="H87" s="56">
        <f>H71/100*'June 18 - May 19'!$T48</f>
        <v>1114.9015240390704</v>
      </c>
      <c r="I87" s="56">
        <f>I71/100*'June 18 - May 19'!$U48</f>
        <v>553.5744194865963</v>
      </c>
      <c r="J87" s="56">
        <f>J71/100*'June 18 - May 19'!$V48</f>
        <v>175.30919871848681</v>
      </c>
      <c r="K87" s="60"/>
      <c r="P87" s="63">
        <f>'June 18 - May 19'!$O52+'June 18 - May 19'!$O53</f>
        <v>1588918.6331005762</v>
      </c>
      <c r="Q87" s="63">
        <f>('June 18 - May 19'!$P49)+('June 18 - May 19'!$P50)</f>
        <v>1142.8607857196876</v>
      </c>
      <c r="R87" s="64">
        <f>'June 18 - May 19'!$Q48</f>
        <v>287575.70126713405</v>
      </c>
      <c r="S87" s="64">
        <f>'June 18 - May 19'!$R48</f>
        <v>2954.1486426928523</v>
      </c>
      <c r="T87" s="64">
        <f>'June 18 - May 19'!$S48</f>
        <v>334883.18390007026</v>
      </c>
      <c r="U87" s="64">
        <f>'June 18 - May 19'!$T48</f>
        <v>19206.214130115426</v>
      </c>
      <c r="V87" s="64">
        <f>'June 18 - May 19'!$U48</f>
        <v>15241.586439608931</v>
      </c>
      <c r="W87" s="64">
        <f>'June 18 - May 19'!$V48</f>
        <v>3181.6551491558407</v>
      </c>
      <c r="X87" s="131">
        <f>SUM(P87:W87)</f>
        <v>2253103.9834150732</v>
      </c>
    </row>
    <row r="88" spans="1:24" ht="15" x14ac:dyDescent="0.4">
      <c r="B88" s="54" t="s">
        <v>66</v>
      </c>
      <c r="C88" s="40">
        <f>+C78/100*'June 18 - May 19'!$O45</f>
        <v>198721.25760743342</v>
      </c>
      <c r="D88" s="40">
        <f>(D79/100*'June 18 - May 19'!$P46)+(D80/100*'June 18 - May 19'!$P47)</f>
        <v>147.6442676308983</v>
      </c>
      <c r="E88" s="40">
        <f>E78/100*'June 18 - May 19'!$Q45</f>
        <v>37977.670138517955</v>
      </c>
      <c r="F88" s="40">
        <f>F78/100*'June 18 - May 19'!R45</f>
        <v>590.9695241300692</v>
      </c>
      <c r="G88" s="40">
        <f>G78/100*'June 18 - May 19'!$S45</f>
        <v>38053.984950962462</v>
      </c>
      <c r="H88" s="40">
        <f>H78/100*'June 18 - May 19'!$T45</f>
        <v>1948.5983564980904</v>
      </c>
      <c r="I88" s="40">
        <f>I78/100*'June 18 - May 19'!$U45</f>
        <v>1327.1138143318274</v>
      </c>
      <c r="J88" s="40">
        <f>J78/100*'June 18 - May 19'!$V45</f>
        <v>297.98124765428003</v>
      </c>
      <c r="K88" s="61"/>
      <c r="P88" s="65">
        <f>'June 18 - May 19'!$O45</f>
        <v>2199874.4379953439</v>
      </c>
      <c r="Q88" s="65">
        <f>('June 18 - May 19'!$P46)+('June 18 - May 19'!$P47)</f>
        <v>1816.0415592184934</v>
      </c>
      <c r="R88" s="65">
        <f>'June 18 - May 19'!$Q45</f>
        <v>447317.11214847828</v>
      </c>
      <c r="S88" s="65">
        <f>'June 18 - May 19'!$R45</f>
        <v>6252.0579337530062</v>
      </c>
      <c r="T88" s="65">
        <f>'June 18 - May 19'!$S45</f>
        <v>524434.06949866959</v>
      </c>
      <c r="U88" s="65">
        <f>'June 18 - May 19'!$T45</f>
        <v>30770.905417965609</v>
      </c>
      <c r="V88" s="65">
        <f>'June 18 - May 19'!$U45</f>
        <v>31492.971388984985</v>
      </c>
      <c r="W88" s="65">
        <f>'June 18 - May 19'!$V45</f>
        <v>4922.6248105046834</v>
      </c>
      <c r="X88" s="131">
        <f>SUM(P88:W88)</f>
        <v>3246880.2207529186</v>
      </c>
    </row>
    <row r="89" spans="1:24" x14ac:dyDescent="0.25">
      <c r="B89" s="54" t="s">
        <v>29</v>
      </c>
      <c r="C89" s="41">
        <f t="shared" ref="C89:J89" si="5">+C88+C87</f>
        <v>324127.54396441183</v>
      </c>
      <c r="D89" s="41">
        <f t="shared" si="5"/>
        <v>233.91355882527222</v>
      </c>
      <c r="E89" s="41">
        <f t="shared" si="5"/>
        <v>60072.111266871863</v>
      </c>
      <c r="F89" s="41">
        <f t="shared" si="5"/>
        <v>866.99926500600395</v>
      </c>
      <c r="G89" s="41">
        <f t="shared" si="5"/>
        <v>60196.461070435107</v>
      </c>
      <c r="H89" s="41">
        <f t="shared" si="5"/>
        <v>3063.4998805371606</v>
      </c>
      <c r="I89" s="41">
        <f t="shared" si="5"/>
        <v>1880.6882338184237</v>
      </c>
      <c r="J89" s="41">
        <f t="shared" si="5"/>
        <v>473.29044637276684</v>
      </c>
      <c r="K89" s="62"/>
      <c r="P89" s="66">
        <f t="shared" ref="P89:W89" si="6">+P88+P87</f>
        <v>3788793.0710959202</v>
      </c>
      <c r="Q89" s="66">
        <f t="shared" si="6"/>
        <v>2958.9023449381812</v>
      </c>
      <c r="R89" s="66">
        <f t="shared" si="6"/>
        <v>734892.81341561233</v>
      </c>
      <c r="S89" s="66">
        <f t="shared" si="6"/>
        <v>9206.2065764458584</v>
      </c>
      <c r="T89" s="66">
        <f t="shared" si="6"/>
        <v>859317.25339873985</v>
      </c>
      <c r="U89" s="66">
        <f t="shared" si="6"/>
        <v>49977.119548081035</v>
      </c>
      <c r="V89" s="66">
        <f t="shared" si="6"/>
        <v>46734.557828593912</v>
      </c>
      <c r="W89" s="66">
        <f t="shared" si="6"/>
        <v>8104.2799596605237</v>
      </c>
      <c r="X89" s="131">
        <f>SUM(P89:W89)</f>
        <v>5499984.2041679928</v>
      </c>
    </row>
    <row r="90" spans="1:24" x14ac:dyDescent="0.25">
      <c r="B90" s="54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24" x14ac:dyDescent="0.25">
      <c r="B91" s="54" t="s">
        <v>198</v>
      </c>
      <c r="C91" s="41">
        <f>SUM(C87:J87)</f>
        <v>171849.28777911942</v>
      </c>
      <c r="D91" s="41"/>
      <c r="E91" s="41"/>
      <c r="F91" s="41"/>
      <c r="G91" s="41"/>
      <c r="H91" s="41"/>
      <c r="I91" s="41"/>
      <c r="J91" s="41"/>
      <c r="K91" s="41"/>
      <c r="L91" s="41"/>
    </row>
    <row r="92" spans="1:24" ht="15" x14ac:dyDescent="0.4">
      <c r="B92" s="54" t="s">
        <v>199</v>
      </c>
      <c r="C92" s="57">
        <f>SUM(C88:J88)</f>
        <v>279065.21990715904</v>
      </c>
      <c r="E92" s="46"/>
    </row>
    <row r="93" spans="1:24" x14ac:dyDescent="0.25">
      <c r="B93" s="54" t="s">
        <v>200</v>
      </c>
      <c r="C93" s="41">
        <f>+C92+C91</f>
        <v>450914.50768627843</v>
      </c>
      <c r="E93" s="46"/>
    </row>
    <row r="94" spans="1:24" x14ac:dyDescent="0.25">
      <c r="B94" s="54"/>
      <c r="C94" s="46"/>
      <c r="E94" s="46"/>
    </row>
    <row r="95" spans="1:24" x14ac:dyDescent="0.25"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24" x14ac:dyDescent="0.25">
      <c r="B96" s="5" t="s">
        <v>165</v>
      </c>
    </row>
    <row r="97" spans="1:10" x14ac:dyDescent="0.25">
      <c r="B97" s="54" t="s">
        <v>63</v>
      </c>
      <c r="C97" s="41">
        <f>+C23+D23+E23</f>
        <v>184717.72996234361</v>
      </c>
    </row>
    <row r="98" spans="1:10" ht="15" x14ac:dyDescent="0.4">
      <c r="B98" s="54" t="s">
        <v>66</v>
      </c>
      <c r="C98" s="57">
        <f>+C24+D24+E24</f>
        <v>266180.23197426053</v>
      </c>
      <c r="E98" s="67"/>
      <c r="F98" s="68"/>
      <c r="G98" s="68"/>
      <c r="H98" s="69"/>
    </row>
    <row r="99" spans="1:10" x14ac:dyDescent="0.25">
      <c r="B99" s="54" t="s">
        <v>29</v>
      </c>
      <c r="C99" s="41">
        <f>+C98+C97</f>
        <v>450897.96193660412</v>
      </c>
      <c r="E99" s="70" t="s">
        <v>209</v>
      </c>
      <c r="F99" s="18"/>
      <c r="G99" s="18"/>
      <c r="H99" s="148"/>
      <c r="J99" s="10" t="s">
        <v>202</v>
      </c>
    </row>
    <row r="100" spans="1:10" x14ac:dyDescent="0.25">
      <c r="C100" s="46"/>
      <c r="E100" s="70" t="s">
        <v>210</v>
      </c>
      <c r="F100" s="20" t="s">
        <v>211</v>
      </c>
      <c r="G100" s="18"/>
      <c r="H100" s="148"/>
      <c r="J100" s="58">
        <f>+C102/C97</f>
        <v>6.9665441351231108E-2</v>
      </c>
    </row>
    <row r="101" spans="1:10" x14ac:dyDescent="0.25">
      <c r="B101" s="27" t="s">
        <v>201</v>
      </c>
      <c r="C101" s="41"/>
      <c r="E101" s="149" t="s">
        <v>212</v>
      </c>
      <c r="F101" s="18"/>
      <c r="G101" s="18"/>
      <c r="H101" s="148"/>
      <c r="J101" s="58">
        <f>+C103/C98</f>
        <v>-4.8407005423845607E-2</v>
      </c>
    </row>
    <row r="102" spans="1:10" x14ac:dyDescent="0.25">
      <c r="B102" s="54" t="s">
        <v>63</v>
      </c>
      <c r="C102" s="41">
        <f>+C97-C91</f>
        <v>12868.442183224193</v>
      </c>
      <c r="E102" s="71">
        <f>ROUND(1+(C102/C91),5)</f>
        <v>1.0748800000000001</v>
      </c>
      <c r="F102" s="18"/>
      <c r="G102" s="18"/>
      <c r="H102" s="148"/>
      <c r="J102" s="58">
        <f>+C104/C99</f>
        <v>-3.6695108585664169E-5</v>
      </c>
    </row>
    <row r="103" spans="1:10" ht="15" x14ac:dyDescent="0.4">
      <c r="B103" s="54" t="s">
        <v>66</v>
      </c>
      <c r="C103" s="57">
        <f>+C98-C92</f>
        <v>-12884.987932898512</v>
      </c>
      <c r="E103" s="71">
        <f>ROUND(1+(C103/C92),5)</f>
        <v>0.95382999999999996</v>
      </c>
      <c r="F103" s="18"/>
      <c r="G103" s="18"/>
      <c r="H103" s="148"/>
    </row>
    <row r="104" spans="1:10" x14ac:dyDescent="0.25">
      <c r="B104" s="54" t="s">
        <v>29</v>
      </c>
      <c r="C104" s="41">
        <f>+C99-C93</f>
        <v>-16.545749674318358</v>
      </c>
      <c r="E104" s="150"/>
      <c r="F104" s="151"/>
      <c r="G104" s="151"/>
      <c r="H104" s="152"/>
    </row>
    <row r="106" spans="1:10" x14ac:dyDescent="0.25">
      <c r="C106" s="5" t="s">
        <v>203</v>
      </c>
    </row>
    <row r="107" spans="1:10" x14ac:dyDescent="0.25">
      <c r="C107" s="5" t="s">
        <v>204</v>
      </c>
    </row>
    <row r="110" spans="1:10" x14ac:dyDescent="0.25">
      <c r="A110" s="146" t="s">
        <v>218</v>
      </c>
      <c r="B110" s="53" t="s">
        <v>219</v>
      </c>
      <c r="C110" s="46"/>
      <c r="E110" s="46"/>
    </row>
    <row r="111" spans="1:10" x14ac:dyDescent="0.25">
      <c r="B111" s="4" t="s">
        <v>197</v>
      </c>
    </row>
    <row r="113" spans="2:10" x14ac:dyDescent="0.25">
      <c r="B113" s="4" t="s">
        <v>269</v>
      </c>
    </row>
    <row r="114" spans="2:10" x14ac:dyDescent="0.25">
      <c r="B114" s="3"/>
    </row>
    <row r="115" spans="2:10" x14ac:dyDescent="0.25">
      <c r="C115" s="28" t="s">
        <v>5</v>
      </c>
      <c r="D115" s="28" t="s">
        <v>139</v>
      </c>
      <c r="E115" s="28" t="s">
        <v>6</v>
      </c>
      <c r="F115" s="28" t="s">
        <v>7</v>
      </c>
      <c r="G115" s="28" t="s">
        <v>8</v>
      </c>
      <c r="H115" s="28" t="s">
        <v>9</v>
      </c>
      <c r="I115" s="28" t="s">
        <v>10</v>
      </c>
      <c r="J115" s="28" t="s">
        <v>11</v>
      </c>
    </row>
    <row r="116" spans="2:10" x14ac:dyDescent="0.25">
      <c r="C116" s="146"/>
      <c r="D116" s="146"/>
      <c r="E116" s="146"/>
      <c r="F116" s="147"/>
      <c r="G116" s="147"/>
      <c r="H116" s="147"/>
      <c r="I116" s="147"/>
      <c r="J116" s="147"/>
    </row>
    <row r="117" spans="2:10" x14ac:dyDescent="0.25">
      <c r="B117" s="34" t="s">
        <v>44</v>
      </c>
      <c r="C117" s="147"/>
      <c r="D117" s="147">
        <f>ROUND(D71*$E$102,4)</f>
        <v>10.852499999999999</v>
      </c>
      <c r="E117" s="147">
        <f t="shared" ref="E117:J117" si="7">ROUND(E71*$E$102,4)</f>
        <v>8.2583000000000002</v>
      </c>
      <c r="F117" s="147">
        <f t="shared" si="7"/>
        <v>10.0435</v>
      </c>
      <c r="G117" s="147">
        <f t="shared" si="7"/>
        <v>7.1071</v>
      </c>
      <c r="H117" s="147">
        <f t="shared" si="7"/>
        <v>6.2396000000000003</v>
      </c>
      <c r="I117" s="147">
        <f t="shared" si="7"/>
        <v>3.9039999999999999</v>
      </c>
      <c r="J117" s="147">
        <f t="shared" si="7"/>
        <v>5.9226000000000001</v>
      </c>
    </row>
    <row r="118" spans="2:10" x14ac:dyDescent="0.25">
      <c r="B118" s="35" t="s">
        <v>134</v>
      </c>
      <c r="C118" s="146"/>
      <c r="D118" s="147">
        <f>ROUND(D72*$E$102,4)</f>
        <v>11.8119</v>
      </c>
      <c r="E118" s="147"/>
      <c r="F118" s="146"/>
      <c r="G118" s="146"/>
      <c r="H118" s="146"/>
      <c r="I118" s="146"/>
      <c r="J118" s="146"/>
    </row>
    <row r="119" spans="2:10" x14ac:dyDescent="0.25">
      <c r="B119" s="35" t="s">
        <v>37</v>
      </c>
      <c r="C119" s="146"/>
      <c r="D119" s="147">
        <f>ROUND(D73*$E$102,4)</f>
        <v>3.7037</v>
      </c>
      <c r="E119" s="147"/>
      <c r="F119" s="146"/>
      <c r="G119" s="146"/>
      <c r="H119" s="146"/>
      <c r="I119" s="146"/>
      <c r="J119" s="146"/>
    </row>
    <row r="120" spans="2:10" x14ac:dyDescent="0.25">
      <c r="B120" s="50"/>
      <c r="C120" s="146"/>
      <c r="D120" s="146"/>
      <c r="E120" s="146"/>
      <c r="F120" s="146"/>
      <c r="G120" s="146"/>
      <c r="H120" s="146"/>
      <c r="I120" s="146"/>
      <c r="J120" s="146"/>
    </row>
    <row r="121" spans="2:10" x14ac:dyDescent="0.25">
      <c r="B121" s="42" t="s">
        <v>93</v>
      </c>
      <c r="C121" s="147">
        <f>ROUND(C75*$E$102,4)</f>
        <v>8.0955999999999992</v>
      </c>
      <c r="D121" s="147"/>
      <c r="E121" s="146"/>
      <c r="F121" s="146"/>
      <c r="G121" s="146"/>
      <c r="H121" s="146"/>
      <c r="I121" s="146"/>
      <c r="J121" s="146"/>
    </row>
    <row r="122" spans="2:10" x14ac:dyDescent="0.25">
      <c r="B122" s="42" t="s">
        <v>94</v>
      </c>
      <c r="C122" s="147">
        <f>ROUND(C76*$E$102,4)</f>
        <v>9.0256000000000007</v>
      </c>
      <c r="D122" s="147"/>
      <c r="E122" s="146"/>
      <c r="F122" s="146"/>
      <c r="G122" s="146"/>
      <c r="H122" s="146"/>
      <c r="I122" s="146"/>
      <c r="J122" s="146"/>
    </row>
    <row r="123" spans="2:10" x14ac:dyDescent="0.25">
      <c r="C123" s="147"/>
      <c r="D123" s="147"/>
      <c r="E123" s="146"/>
      <c r="F123" s="146"/>
      <c r="G123" s="146"/>
      <c r="H123" s="146"/>
      <c r="I123" s="146"/>
      <c r="J123" s="146"/>
    </row>
    <row r="124" spans="2:10" x14ac:dyDescent="0.25">
      <c r="B124" s="34" t="s">
        <v>45</v>
      </c>
      <c r="C124" s="147">
        <f t="shared" ref="C124:J124" si="8">ROUND(C78*$E$103,4)</f>
        <v>8.6161999999999992</v>
      </c>
      <c r="D124" s="147">
        <f t="shared" si="8"/>
        <v>11.051600000000001</v>
      </c>
      <c r="E124" s="147">
        <f t="shared" si="8"/>
        <v>8.0981000000000005</v>
      </c>
      <c r="F124" s="147">
        <f t="shared" si="8"/>
        <v>9.016</v>
      </c>
      <c r="G124" s="147">
        <f t="shared" si="8"/>
        <v>6.9211999999999998</v>
      </c>
      <c r="H124" s="147">
        <f t="shared" si="8"/>
        <v>6.0401999999999996</v>
      </c>
      <c r="I124" s="147">
        <f t="shared" si="8"/>
        <v>4.0194000000000001</v>
      </c>
      <c r="J124" s="147">
        <f t="shared" si="8"/>
        <v>5.7737999999999996</v>
      </c>
    </row>
    <row r="125" spans="2:10" x14ac:dyDescent="0.25">
      <c r="B125" s="35" t="s">
        <v>134</v>
      </c>
      <c r="C125" s="146"/>
      <c r="D125" s="147">
        <f>ROUND(D79*$E$103,4)</f>
        <v>11.6586</v>
      </c>
      <c r="E125" s="147"/>
      <c r="F125" s="146"/>
      <c r="G125" s="146"/>
      <c r="H125" s="146"/>
      <c r="I125" s="146"/>
      <c r="J125" s="146"/>
    </row>
    <row r="126" spans="2:10" x14ac:dyDescent="0.25">
      <c r="B126" s="35" t="s">
        <v>37</v>
      </c>
      <c r="C126" s="146"/>
      <c r="D126" s="147">
        <f>ROUND(D80*$E$103,4)</f>
        <v>3.8862000000000001</v>
      </c>
      <c r="E126" s="147"/>
      <c r="F126" s="146"/>
      <c r="G126" s="146"/>
      <c r="H126" s="146"/>
      <c r="I126" s="146"/>
      <c r="J126" s="146"/>
    </row>
    <row r="130" spans="1:10" x14ac:dyDescent="0.25">
      <c r="A130" s="146" t="s">
        <v>220</v>
      </c>
      <c r="B130" s="3" t="s">
        <v>221</v>
      </c>
      <c r="C130" s="46"/>
      <c r="E130" s="46"/>
    </row>
    <row r="132" spans="1:10" x14ac:dyDescent="0.25">
      <c r="C132" s="28" t="s">
        <v>5</v>
      </c>
      <c r="D132" s="28" t="s">
        <v>139</v>
      </c>
      <c r="E132" s="28" t="s">
        <v>6</v>
      </c>
      <c r="F132" s="28" t="s">
        <v>7</v>
      </c>
      <c r="G132" s="28" t="s">
        <v>8</v>
      </c>
      <c r="H132" s="28" t="s">
        <v>9</v>
      </c>
      <c r="I132" s="28" t="s">
        <v>10</v>
      </c>
      <c r="J132" s="28" t="s">
        <v>11</v>
      </c>
    </row>
    <row r="133" spans="1:10" x14ac:dyDescent="0.25">
      <c r="B133" s="5" t="s">
        <v>164</v>
      </c>
      <c r="C133" s="72"/>
    </row>
    <row r="134" spans="1:10" x14ac:dyDescent="0.25">
      <c r="B134" s="54" t="s">
        <v>63</v>
      </c>
      <c r="C134" s="72">
        <f>+C121/100*'June 18 - May 19'!O52+'auction results and rates'!C122/100*'June 18 - May 19'!O53</f>
        <v>134797.33764414871</v>
      </c>
      <c r="D134" s="39">
        <f>D118/100*'June 18 - May 19'!P49+D119/100*'June 18 - May 19'!P50</f>
        <v>92.729334178446052</v>
      </c>
      <c r="E134" s="72">
        <f>E117/100*'June 18 - May 19'!Q48</f>
        <v>23748.864137743731</v>
      </c>
      <c r="F134" s="72">
        <f>F117/100*'June 18 - May 19'!R48</f>
        <v>296.69991892885662</v>
      </c>
      <c r="G134" s="72">
        <f>G117/100*'June 18 - May 19'!S48</f>
        <v>23800.482762961892</v>
      </c>
      <c r="H134" s="72">
        <f>H117/100*'June 18 - May 19'!T48</f>
        <v>1198.3909368626821</v>
      </c>
      <c r="I134" s="72">
        <f>I117/100*'June 18 - May 19'!U48</f>
        <v>595.03153460233261</v>
      </c>
      <c r="J134" s="72">
        <f>J117/100*'June 18 - May 19'!V48</f>
        <v>188.43670786390382</v>
      </c>
    </row>
    <row r="135" spans="1:10" ht="15" x14ac:dyDescent="0.4">
      <c r="B135" s="54" t="s">
        <v>66</v>
      </c>
      <c r="C135" s="40">
        <f>+C124/100*'June 18 - May 19'!O45</f>
        <v>189545.58132655479</v>
      </c>
      <c r="D135" s="40">
        <f>D125/100*'June 18 - May 19'!P46+'auction results and rates'!D126/100*'June 18 - May 19'!P47</f>
        <v>140.82790979240531</v>
      </c>
      <c r="E135" s="40">
        <f>E124/100*'June 18 - May 19'!Q45</f>
        <v>36224.187058895921</v>
      </c>
      <c r="F135" s="40">
        <f>F124/100*'June 18 - May 19'!R45</f>
        <v>563.68554330717109</v>
      </c>
      <c r="G135" s="40">
        <f>G124/100*'June 18 - May 19'!S45</f>
        <v>36297.130818141915</v>
      </c>
      <c r="H135" s="40">
        <f>H124/100*'June 18 - May 19'!T45</f>
        <v>1858.6242290559587</v>
      </c>
      <c r="I135" s="40">
        <f>I124/100*'June 18 - May 19'!U45</f>
        <v>1265.8284920088624</v>
      </c>
      <c r="J135" s="40">
        <f>J124/100*'June 18 - May 19'!V45</f>
        <v>284.22251130891942</v>
      </c>
    </row>
    <row r="136" spans="1:10" x14ac:dyDescent="0.25">
      <c r="B136" s="54" t="s">
        <v>29</v>
      </c>
      <c r="C136" s="41">
        <f t="shared" ref="C136:J136" si="9">+C135+C134</f>
        <v>324342.9189707035</v>
      </c>
      <c r="D136" s="41">
        <f t="shared" si="9"/>
        <v>233.55724397085135</v>
      </c>
      <c r="E136" s="41">
        <f t="shared" si="9"/>
        <v>59973.051196639652</v>
      </c>
      <c r="F136" s="41">
        <f t="shared" si="9"/>
        <v>860.38546223602771</v>
      </c>
      <c r="G136" s="41">
        <f t="shared" si="9"/>
        <v>60097.613581103811</v>
      </c>
      <c r="H136" s="41">
        <f t="shared" si="9"/>
        <v>3057.0151659186408</v>
      </c>
      <c r="I136" s="41">
        <f t="shared" si="9"/>
        <v>1860.8600266111951</v>
      </c>
      <c r="J136" s="41">
        <f t="shared" si="9"/>
        <v>472.65921917282321</v>
      </c>
    </row>
    <row r="137" spans="1:10" x14ac:dyDescent="0.25">
      <c r="B137" s="54"/>
      <c r="C137" s="41"/>
      <c r="D137" s="41"/>
      <c r="E137" s="41"/>
      <c r="F137" s="41"/>
      <c r="G137" s="41"/>
      <c r="H137" s="41"/>
      <c r="I137" s="41"/>
      <c r="J137" s="41"/>
    </row>
    <row r="138" spans="1:10" x14ac:dyDescent="0.25">
      <c r="B138" s="54" t="s">
        <v>198</v>
      </c>
      <c r="C138" s="41">
        <f>SUM(C134:J134)</f>
        <v>184717.97297729054</v>
      </c>
      <c r="D138" s="41"/>
      <c r="E138" s="41"/>
      <c r="F138" s="41"/>
      <c r="G138" s="41"/>
      <c r="H138" s="41"/>
      <c r="I138" s="41"/>
      <c r="J138" s="41"/>
    </row>
    <row r="139" spans="1:10" ht="15" x14ac:dyDescent="0.4">
      <c r="B139" s="54" t="s">
        <v>199</v>
      </c>
      <c r="C139" s="57">
        <f>SUM(C135:J135)</f>
        <v>266180.08788906591</v>
      </c>
      <c r="E139" s="46"/>
    </row>
    <row r="140" spans="1:10" x14ac:dyDescent="0.25">
      <c r="B140" s="54" t="s">
        <v>200</v>
      </c>
      <c r="C140" s="41">
        <f>+C139+C138</f>
        <v>450898.06086635648</v>
      </c>
      <c r="E140" s="46"/>
    </row>
    <row r="141" spans="1:10" x14ac:dyDescent="0.25">
      <c r="B141" s="54"/>
    </row>
    <row r="143" spans="1:10" x14ac:dyDescent="0.25">
      <c r="B143" s="5" t="s">
        <v>165</v>
      </c>
    </row>
    <row r="144" spans="1:10" x14ac:dyDescent="0.25">
      <c r="B144" s="54" t="s">
        <v>63</v>
      </c>
      <c r="C144" s="41">
        <f>C97</f>
        <v>184717.72996234361</v>
      </c>
    </row>
    <row r="145" spans="2:3" ht="15" x14ac:dyDescent="0.4">
      <c r="B145" s="54" t="s">
        <v>66</v>
      </c>
      <c r="C145" s="57">
        <f>C98</f>
        <v>266180.23197426053</v>
      </c>
    </row>
    <row r="146" spans="2:3" x14ac:dyDescent="0.25">
      <c r="B146" s="54" t="s">
        <v>29</v>
      </c>
      <c r="C146" s="41">
        <f>+C145+C144</f>
        <v>450897.96193660412</v>
      </c>
    </row>
    <row r="148" spans="2:3" x14ac:dyDescent="0.25">
      <c r="B148" s="27" t="s">
        <v>201</v>
      </c>
    </row>
    <row r="149" spans="2:3" x14ac:dyDescent="0.25">
      <c r="B149" s="54" t="s">
        <v>63</v>
      </c>
      <c r="C149" s="41">
        <f>+C138-C144</f>
        <v>0.24301494692917913</v>
      </c>
    </row>
    <row r="150" spans="2:3" ht="15" x14ac:dyDescent="0.4">
      <c r="B150" s="54" t="s">
        <v>66</v>
      </c>
      <c r="C150" s="57">
        <f>+C139-C145</f>
        <v>-0.14408519462449476</v>
      </c>
    </row>
    <row r="151" spans="2:3" x14ac:dyDescent="0.25">
      <c r="B151" s="54" t="s">
        <v>29</v>
      </c>
      <c r="C151" s="41">
        <f>+C150+C149</f>
        <v>9.8929752304684371E-2</v>
      </c>
    </row>
  </sheetData>
  <customSheetViews>
    <customSheetView guid="{689761CC-C80B-4574-9251-22E069AE5A7E}" scale="87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1"/>
      <headerFooter alignWithMargins="0"/>
    </customSheetView>
    <customSheetView guid="{E387223A-F425-4996-A843-D576BB2C4D04}" scale="87" showPageBreaks="1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2"/>
      <headerFooter alignWithMargins="0"/>
    </customSheetView>
  </customSheetViews>
  <phoneticPr fontId="0" type="noConversion"/>
  <pageMargins left="0.75" right="0.75" top="1" bottom="1" header="0.5" footer="0.5"/>
  <pageSetup scale="47" fitToHeight="0" orientation="landscape" r:id="rId3"/>
  <headerFooter alignWithMargins="0">
    <oddHeader>&amp;L&amp;"Arial,Bold"Atlantic City Electric Company &amp;"Arial,Regular"
Development of BGS Rates
June 2018 - May 2019&amp;RAttachment 3
Page &amp;P of &amp;N</oddHeader>
  </headerFooter>
  <rowBreaks count="3" manualBreakCount="3">
    <brk id="39" max="14" man="1"/>
    <brk id="82" max="14" man="1"/>
    <brk id="10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June 18 - May 19</vt:lpstr>
      <vt:lpstr>auction results and rates</vt:lpstr>
      <vt:lpstr>'auction results and rates'!Print_Area</vt:lpstr>
      <vt:lpstr>'June 18 - May 19'!Print_Area</vt:lpstr>
      <vt:lpstr>'auction results and rates'!Print_Titles</vt:lpstr>
    </vt:vector>
  </TitlesOfParts>
  <Company>Conectiv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JJanocha</dc:creator>
  <cp:lastModifiedBy>OWG User</cp:lastModifiedBy>
  <cp:lastPrinted>2017-11-03T12:55:57Z</cp:lastPrinted>
  <dcterms:created xsi:type="dcterms:W3CDTF">2003-06-13T18:49:24Z</dcterms:created>
  <dcterms:modified xsi:type="dcterms:W3CDTF">2017-11-10T15:53:28Z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0f29f702-d68c-4900-a3c7-a0f30a07b7c4</vt:lpwstr>
  </property>
</Properties>
</file>